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92" firstSheet="4" activeTab="8"/>
  </bookViews>
  <sheets>
    <sheet name="NEW MCC-9" sheetId="1" state="hidden" r:id="rId1"/>
    <sheet name="EXISTING MCC-9" sheetId="2" state="hidden" r:id="rId2"/>
    <sheet name="EXISTING MCC-9A" sheetId="3" state="hidden" r:id="rId3"/>
    <sheet name="MCC-EBH (7)" sheetId="4" state="hidden" r:id="rId4"/>
    <sheet name="LP-UV-2" sheetId="5" r:id="rId5"/>
    <sheet name="Existing LP-RW" sheetId="6" r:id="rId6"/>
    <sheet name="LP-AB" sheetId="7" r:id="rId7"/>
    <sheet name="LP-MCC3" sheetId="8" r:id="rId8"/>
    <sheet name="LP-RWDP" sheetId="9" r:id="rId9"/>
  </sheets>
  <definedNames>
    <definedName name="FLA_Table" localSheetId="1">'EXISTING MCC-9'!$B$70:$F$100</definedName>
    <definedName name="FLA_Table" localSheetId="2">'EXISTING MCC-9A'!$B$58:$F$88</definedName>
    <definedName name="FLA_Table" localSheetId="3">'MCC-EBH (7)'!$B$67:$F$97</definedName>
    <definedName name="FLA_Table" localSheetId="0">'NEW MCC-9'!$B$67:$F$97</definedName>
    <definedName name="FLA_Table">#REF!</definedName>
    <definedName name="_xlnm.Print_Area" localSheetId="5">'Existing LP-RW'!$A$1:$I$10</definedName>
    <definedName name="_xlnm.Print_Area" localSheetId="1">'EXISTING MCC-9'!$A$1:$D$23</definedName>
    <definedName name="_xlnm.Print_Area" localSheetId="2">'EXISTING MCC-9A'!$A$1:$D$23</definedName>
    <definedName name="_xlnm.Print_Area" localSheetId="6">'LP-AB'!$A$1:$H$95</definedName>
    <definedName name="_xlnm.Print_Area" localSheetId="8">'LP-RWDP'!$A$1:$H$39</definedName>
    <definedName name="_xlnm.Print_Area" localSheetId="4">'LP-UV-2'!$A$1:$H$95</definedName>
    <definedName name="_xlnm.Print_Area" localSheetId="3">'MCC-EBH (7)'!$A$1:$D$35</definedName>
    <definedName name="_xlnm.Print_Area" localSheetId="0">'NEW MCC-9'!$A$1:$D$23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<sst xmlns="http://schemas.openxmlformats.org/spreadsheetml/2006/main" count="1231" uniqueCount="359">
  <si>
    <t>Project Number:</t>
  </si>
  <si>
    <t>Date:</t>
  </si>
  <si>
    <t>Project Name:</t>
  </si>
  <si>
    <t>CIRCUIT/DESCRIPTION</t>
  </si>
  <si>
    <t>KVA</t>
  </si>
  <si>
    <t>HP</t>
  </si>
  <si>
    <t>FLA</t>
  </si>
  <si>
    <t>SUBTOTAL</t>
  </si>
  <si>
    <t>+ 25% OF LARGEST MOTOR</t>
  </si>
  <si>
    <t>TOTAL AMPS @ 480V/3PHASE</t>
  </si>
  <si>
    <t>LOAD CALCULATION FOR NEW SERVICE</t>
  </si>
  <si>
    <t>Lookup Table</t>
  </si>
  <si>
    <t>Motor HP</t>
  </si>
  <si>
    <t>NEC FLA</t>
  </si>
  <si>
    <t>PANEL:</t>
  </si>
  <si>
    <t>VOLTAGE:</t>
  </si>
  <si>
    <t>120/208</t>
  </si>
  <si>
    <t>MAIN CB:</t>
  </si>
  <si>
    <t>100 AMP</t>
  </si>
  <si>
    <t>BUS AMPS:</t>
  </si>
  <si>
    <t>CB TYPE:</t>
  </si>
  <si>
    <t>BOLT-ON</t>
  </si>
  <si>
    <t>MOUNTING:</t>
  </si>
  <si>
    <t>SURFACE</t>
  </si>
  <si>
    <t>BUS A.I.C:</t>
  </si>
  <si>
    <t>10KA</t>
  </si>
  <si>
    <t>BKR AIC:</t>
  </si>
  <si>
    <t>CIRCUIT DESCRIPTION</t>
  </si>
  <si>
    <t>BKR</t>
  </si>
  <si>
    <t>CIRCUIT</t>
  </si>
  <si>
    <t>PHASE A</t>
  </si>
  <si>
    <t>PHASE B</t>
  </si>
  <si>
    <t>PHASE C</t>
  </si>
  <si>
    <t>20/1</t>
  </si>
  <si>
    <t>NOTES:</t>
  </si>
  <si>
    <t>CONNECTED AMPS PER PHASE</t>
  </si>
  <si>
    <t>LARGEST MOTOR (25%)</t>
  </si>
  <si>
    <t>120/240</t>
  </si>
  <si>
    <t>LINE 1</t>
  </si>
  <si>
    <t>LINE 2</t>
  </si>
  <si>
    <t xml:space="preserve">NOTES: </t>
  </si>
  <si>
    <t xml:space="preserve"> </t>
  </si>
  <si>
    <t>LOAD CALCULATION FOR EXISTING SERVICE</t>
  </si>
  <si>
    <t>KW</t>
  </si>
  <si>
    <t>EXISTING LOAD</t>
  </si>
  <si>
    <t>PEAK DEMAND PER SRP/APS</t>
  </si>
  <si>
    <t>EXISTING SERVICE SIZE (AMPS)</t>
  </si>
  <si>
    <t>NEW MOTOR LOADS</t>
  </si>
  <si>
    <t>SERVICE SIZE (AMPS)</t>
  </si>
  <si>
    <t xml:space="preserve"> CIRCUIT/DESCRIPTION</t>
  </si>
  <si>
    <t xml:space="preserve"> NON-MOTOR LOADS</t>
  </si>
  <si>
    <t>NEW NON-MOTOR LOADS</t>
  </si>
  <si>
    <t>BUS BRACING:</t>
  </si>
  <si>
    <t>CONNECTED VA PER PHASE</t>
  </si>
  <si>
    <t>25% OF CONTINUOUS &amp; LIGHTING LOAD (VA)</t>
  </si>
  <si>
    <t>CODE VA PER PHASE</t>
  </si>
  <si>
    <t>CODE AMPS PER PHASE</t>
  </si>
  <si>
    <t>Standard Circuit Counts:</t>
  </si>
  <si>
    <t>Starter</t>
  </si>
  <si>
    <t>VFD</t>
  </si>
  <si>
    <t>n</t>
  </si>
  <si>
    <t>VFD? (y or n)</t>
  </si>
  <si>
    <t>Breaker Trip Rating</t>
  </si>
  <si>
    <t>Wire</t>
  </si>
  <si>
    <t>3 #12 W/ #12 GND</t>
  </si>
  <si>
    <t>3 #10 W/ #10 GND</t>
  </si>
  <si>
    <t>Wire Size</t>
  </si>
  <si>
    <t>3 #8 W/ #10 GND</t>
  </si>
  <si>
    <t>3 #6 W/ #8 GND</t>
  </si>
  <si>
    <t>3 #4 W/ #8 GND</t>
  </si>
  <si>
    <t>3 #3 W/ #8 GND</t>
  </si>
  <si>
    <t>3 #1 W/ #6 GND</t>
  </si>
  <si>
    <t>3 2/0 W/ #6 GND</t>
  </si>
  <si>
    <t>3 3/0 W/ #6 GND</t>
  </si>
  <si>
    <t>3 4/0 W/ #4 GND</t>
  </si>
  <si>
    <t>3 350 MCM W/ #3 GND</t>
  </si>
  <si>
    <t>3 500 MCM W/ #3 GND</t>
  </si>
  <si>
    <t>2 PR 3 4/0 W/ #4 GND</t>
  </si>
  <si>
    <t>2 PR 3 300 MCM W/ #4 GND</t>
  </si>
  <si>
    <t>2 PR 3 350 MCM W/ #3 GND</t>
  </si>
  <si>
    <t>2 PR 3 400 MCM W/ #3 GND</t>
  </si>
  <si>
    <t>2 PR 3 500 MCM W/ #3 GND</t>
  </si>
  <si>
    <t>Ampacity</t>
  </si>
  <si>
    <t>Conductors</t>
  </si>
  <si>
    <t>3 #2 W/ #6 GND</t>
  </si>
  <si>
    <t>3 #6 W/ #10 GND</t>
  </si>
  <si>
    <t>3 1/0 W/ #6 GND</t>
  </si>
  <si>
    <t>3 250 MCM W/ #4 GND</t>
  </si>
  <si>
    <t>3 400 MCM W/ #3 GND</t>
  </si>
  <si>
    <t>2 PR 3 3/0 W/ #6 GND</t>
  </si>
  <si>
    <t>2 PR 3 250 MCM W/ #4 GND</t>
  </si>
  <si>
    <t>3 PR 3 300 MCM W/ #4 GND</t>
  </si>
  <si>
    <t>3 PR 3 400 MCM W/ #3 GND</t>
  </si>
  <si>
    <t>4 PR 3 350 MCM W/ #3 GND</t>
  </si>
  <si>
    <t>5 PR 3 400 MCM W/ #3 GND</t>
  </si>
  <si>
    <t>MOTOR LOADS</t>
  </si>
  <si>
    <t>Forumulas</t>
  </si>
  <si>
    <t>1ø</t>
  </si>
  <si>
    <t>3ø</t>
  </si>
  <si>
    <t>Enter KW</t>
  </si>
  <si>
    <t>Enter V</t>
  </si>
  <si>
    <t>Enter PF</t>
  </si>
  <si>
    <t>Enter ø (1 or 3)</t>
  </si>
  <si>
    <t>Amps</t>
  </si>
  <si>
    <t>Amps (when KW is known)</t>
  </si>
  <si>
    <t>Amps (when KVA is known)</t>
  </si>
  <si>
    <t>NA</t>
  </si>
  <si>
    <r>
      <rPr>
        <u val="single"/>
        <sz val="11"/>
        <rFont val="Calibri"/>
        <family val="2"/>
      </rPr>
      <t>KW*1000</t>
    </r>
    <r>
      <rPr>
        <sz val="10"/>
        <rFont val="Arial"/>
        <family val="2"/>
      </rPr>
      <t xml:space="preserve">
V*PF*√3</t>
    </r>
  </si>
  <si>
    <r>
      <rPr>
        <u val="single"/>
        <sz val="11"/>
        <rFont val="Calibri"/>
        <family val="2"/>
      </rPr>
      <t>KW*1000</t>
    </r>
    <r>
      <rPr>
        <sz val="10"/>
        <rFont val="Arial"/>
        <family val="2"/>
      </rPr>
      <t xml:space="preserve">
V*PF</t>
    </r>
  </si>
  <si>
    <r>
      <rPr>
        <u val="single"/>
        <sz val="11"/>
        <rFont val="Calibri"/>
        <family val="2"/>
      </rPr>
      <t>KVA*1000</t>
    </r>
    <r>
      <rPr>
        <sz val="10"/>
        <rFont val="Arial"/>
        <family val="2"/>
      </rPr>
      <t xml:space="preserve">
V*√3</t>
    </r>
  </si>
  <si>
    <r>
      <rPr>
        <u val="single"/>
        <sz val="11"/>
        <rFont val="Calibri"/>
        <family val="2"/>
      </rPr>
      <t>KVA*1000</t>
    </r>
    <r>
      <rPr>
        <sz val="10"/>
        <rFont val="Arial"/>
        <family val="2"/>
      </rPr>
      <t xml:space="preserve">
V</t>
    </r>
  </si>
  <si>
    <t>*</t>
  </si>
  <si>
    <t>y</t>
  </si>
  <si>
    <t>LP-RW</t>
  </si>
  <si>
    <t>200 AMP</t>
  </si>
  <si>
    <t>MAIN FLOOR LIGHTS (10, A)</t>
  </si>
  <si>
    <t>MAIN FLOOR LIGHTS (8, B)</t>
  </si>
  <si>
    <t>MAIN FLOOR LIGHTS (8, C)</t>
  </si>
  <si>
    <t>OUTDOOR LIGHTS (2, E)</t>
  </si>
  <si>
    <t>MAIN FLOOR LIGHTS (10, D)</t>
  </si>
  <si>
    <t>OUTDOOR LIGHTS (2, F)</t>
  </si>
  <si>
    <t>MAIN FLOOR RECEPTACLES (3, G)</t>
  </si>
  <si>
    <t>MAIN FLOOR RECEPTACLES (3, H)</t>
  </si>
  <si>
    <t>MAIN FLOOR RECEPTACLES (3, I)</t>
  </si>
  <si>
    <t>MEZZANINE LIGHTS (11, J)</t>
  </si>
  <si>
    <t>MEZZANINE LIGHTS (12, K)</t>
  </si>
  <si>
    <t>MEZZANINE RECEPTACLES (3, L)</t>
  </si>
  <si>
    <t>MEZZANINE RECEPTACLES (3, M)</t>
  </si>
  <si>
    <t>ELECTRICAL ROOM LIGHTS (3, N)</t>
  </si>
  <si>
    <t>ELECTRICAL ROOM RECEPTACLES (2, O)</t>
  </si>
  <si>
    <t>OUTDOOR RECEPTACLES (2, P)</t>
  </si>
  <si>
    <t>EMERGENCY LIGHTS (3, Q)</t>
  </si>
  <si>
    <t xml:space="preserve">AC-M-4 AIR DRYER </t>
  </si>
  <si>
    <t>MBH-AC-1</t>
  </si>
  <si>
    <t>MBH-AC-4</t>
  </si>
  <si>
    <t>SPARE</t>
  </si>
  <si>
    <t>CI-P-1 METERING PUMP</t>
  </si>
  <si>
    <t>LCP-52-1001</t>
  </si>
  <si>
    <t>MB1-M-1 PROCESS SKID 1</t>
  </si>
  <si>
    <t>MB2-M-1 PROCESS SKID 2</t>
  </si>
  <si>
    <t>MB3-M-1 PROCESS SKID 3</t>
  </si>
  <si>
    <t>PLC-RW</t>
  </si>
  <si>
    <t>MBH-D-1 DAMPER</t>
  </si>
  <si>
    <t>MB4-M-1 PROCESS SKID 4</t>
  </si>
  <si>
    <t>MBH-D-2 DAMPER</t>
  </si>
  <si>
    <t>MBH-EF-1 EXHAUST FAN</t>
  </si>
  <si>
    <t>MBH-D-3 DAMPER</t>
  </si>
  <si>
    <t>MBH-EF-2 EXHAUST FAN</t>
  </si>
  <si>
    <t>MBH-D-4 DAMPER</t>
  </si>
  <si>
    <t>MBH-EF-3 EXHAUST FAN</t>
  </si>
  <si>
    <t>ROLL-UP DOOR OPENERS(2,R)</t>
  </si>
  <si>
    <t>MBH-AC-2</t>
  </si>
  <si>
    <t>30/2</t>
  </si>
  <si>
    <t>CTC-RW</t>
  </si>
  <si>
    <t>MBH-AC-5</t>
  </si>
  <si>
    <t>MBH-T-1</t>
  </si>
  <si>
    <t>MBH-T-2</t>
  </si>
  <si>
    <t>FLOC TANK LEAK DETECTOR</t>
  </si>
  <si>
    <t>100/3</t>
  </si>
  <si>
    <t>LP-UV</t>
  </si>
  <si>
    <t>FILTER FEED PUMP 3</t>
  </si>
  <si>
    <t>7.5 KW HEATER</t>
  </si>
  <si>
    <t>SLUDGE PUMP 3</t>
  </si>
  <si>
    <t>FERRIC PUMP 3 (FUTURE)</t>
  </si>
  <si>
    <t>EAST PRIMARY CLARIFIER 2</t>
  </si>
  <si>
    <t>WEST PRIMARY CLARIFIER 3</t>
  </si>
  <si>
    <t>FERRIC PUMP 4</t>
  </si>
  <si>
    <t>FINAL CLARIFIER 1</t>
  </si>
  <si>
    <t>SLUDGE PUMP 1</t>
  </si>
  <si>
    <t>FILTER FEED PUMP 1</t>
  </si>
  <si>
    <t>SLUDGE PUMP 2</t>
  </si>
  <si>
    <t>FILTER FEED PUMP 2</t>
  </si>
  <si>
    <t>SLUDGE PUMP 4</t>
  </si>
  <si>
    <t>RECIRC PUMP 2</t>
  </si>
  <si>
    <t>RECIRC PUMP 1</t>
  </si>
  <si>
    <t>FIXED FILM REACTOR FEED PUMP 1</t>
  </si>
  <si>
    <t>FIXED FILM REACTOR FEED PUMP 2</t>
  </si>
  <si>
    <t>FIXED FILM REACTOR FEED PUMP 3</t>
  </si>
  <si>
    <t>PANEL LLP9 TRANSFORMER</t>
  </si>
  <si>
    <t>PLC CONTROL PANEL TRANSFORMER</t>
  </si>
  <si>
    <t>DIGESTER SUPERNATANT STATION</t>
  </si>
  <si>
    <t>EQUALIZATION POND PANEL</t>
  </si>
  <si>
    <t>PANEL HP9</t>
  </si>
  <si>
    <t>MCC-9A</t>
  </si>
  <si>
    <t>PC SLUDGE PUMP 2</t>
  </si>
  <si>
    <t>PC SLUDGE PUMP 1</t>
  </si>
  <si>
    <t>PC SCUM PUMP 1</t>
  </si>
  <si>
    <t>PC SCUM PUMP 2</t>
  </si>
  <si>
    <t>AXIAL EFFLUENT PUMP</t>
  </si>
  <si>
    <t>SECONDARY CLARIFIER 1</t>
  </si>
  <si>
    <t>SECONDARY CLARIFIER 2</t>
  </si>
  <si>
    <t>SECONDARY CLARIFIER 3</t>
  </si>
  <si>
    <t>NON-POTABLE WATER PUMP 1</t>
  </si>
  <si>
    <t>NON-POTABLE WATER PUMP 2</t>
  </si>
  <si>
    <t>NON-POTABLE WATER PUMP 3</t>
  </si>
  <si>
    <t>NON-POTABLE WATER PUMP 4</t>
  </si>
  <si>
    <t>PANEL HP9A</t>
  </si>
  <si>
    <t>PCE-WG1</t>
  </si>
  <si>
    <t>PCE-BV2</t>
  </si>
  <si>
    <t>PCE-BV3</t>
  </si>
  <si>
    <t>LIGHTING PANEL TRANSFORMER</t>
  </si>
  <si>
    <t>DISTRIBUTION PANEL</t>
  </si>
  <si>
    <t>SC SCUM PUMP 1</t>
  </si>
  <si>
    <t>SC SCUM PUMP 2</t>
  </si>
  <si>
    <t>MCC SPACE FACTOR</t>
  </si>
  <si>
    <t>AB Centerline 2100</t>
  </si>
  <si>
    <t>3 (36")</t>
  </si>
  <si>
    <t>1 (12")</t>
  </si>
  <si>
    <t>LP-AB</t>
  </si>
  <si>
    <t>ELECTRICAL BLDG. LIGHTS (8, A)</t>
  </si>
  <si>
    <t>ELECTRICAL BLDG. OUTDOOR LIGHTS (2, B)</t>
  </si>
  <si>
    <t>ELECTRICAL BLDG. OUTLETS (3, C)</t>
  </si>
  <si>
    <t>PLC-AB</t>
  </si>
  <si>
    <t>EQ/ANOXIC BASINS LIGHTS/OUTLETS (4,3)</t>
  </si>
  <si>
    <t>AEROTOR BASINS LIGHTS/OUTLETS (4,3)</t>
  </si>
  <si>
    <t>23-FIT-1010</t>
  </si>
  <si>
    <t>31-AIT-1010</t>
  </si>
  <si>
    <t>31-AIT-4010</t>
  </si>
  <si>
    <t>31-AIT-1001</t>
  </si>
  <si>
    <t>31-AIT-2010</t>
  </si>
  <si>
    <t>31-AIT-2001</t>
  </si>
  <si>
    <t>BIOASSAY LAB LIGHTS (6, A)</t>
  </si>
  <si>
    <t>UV BUILDING BATHROOM LIGHT &amp; FAN (B)</t>
  </si>
  <si>
    <t>UV BUILDING ELECTRICAL ROOM LIGHTS (4, E)</t>
  </si>
  <si>
    <t>BIOASSAY LAB OUTLETS (3, H)</t>
  </si>
  <si>
    <t>BIOASSAY LAB OUTLETS (3, I)</t>
  </si>
  <si>
    <t>BIOASSAY LAB OUTLETS (2, J)</t>
  </si>
  <si>
    <t>BIOASSAY REFRIGERATOR OUTLET</t>
  </si>
  <si>
    <t>UV BLDG BATHROOM &amp; MECH OUTLETS (2, K)</t>
  </si>
  <si>
    <t>UV BUILDING PROCESS AREA OUTLETS (3, L)</t>
  </si>
  <si>
    <t>UV BUILDING PROCESS AREA LIGHTS (14, D)</t>
  </si>
  <si>
    <t>UV BUILDING GARAGE DOOR</t>
  </si>
  <si>
    <t>PLC-UV</t>
  </si>
  <si>
    <t>36-FIT-1000</t>
  </si>
  <si>
    <t>81-FIT-1001</t>
  </si>
  <si>
    <t>UV BUILDING MECH ROOM LIGHT (1, C)</t>
  </si>
  <si>
    <t>225 AMP</t>
  </si>
  <si>
    <t>22KA</t>
  </si>
  <si>
    <t>NON-POTABLE WATER PUMP 1 (81-P-1100)</t>
  </si>
  <si>
    <t>NON-POTABLE WATER PUMP 2 (81-P-1200)</t>
  </si>
  <si>
    <t>NON-POTABLE WATER PUMP 3 (81-P-1300)</t>
  </si>
  <si>
    <t>NON-POTABLE WATER PUMP 4 (81-P-1400)</t>
  </si>
  <si>
    <t>EXISTING NON-MOTOR LOADS</t>
  </si>
  <si>
    <t>EXISTING 21-LIT-1101, 21-LIT-1204B, 21-LIT-1304B, 21-LIT-1305B</t>
  </si>
  <si>
    <t>EXISTING 21-LIT-1204A, 21-LIT-1205A, 21-LIT-1304A, 21-LIT-1305A</t>
  </si>
  <si>
    <t>EXISTING 51-LIT-1101</t>
  </si>
  <si>
    <t>EXISTING SITE LIGHTING L1, L2, L3, L4, L5, L6, L8, L9</t>
  </si>
  <si>
    <t>20/2</t>
  </si>
  <si>
    <t>X</t>
  </si>
  <si>
    <t>31-AIT-3001</t>
  </si>
  <si>
    <t>31-AIT-4001</t>
  </si>
  <si>
    <t>SINK WATER HEATER</t>
  </si>
  <si>
    <t>GENERATOR HEATER</t>
  </si>
  <si>
    <t>GENERATOR CHARGER</t>
  </si>
  <si>
    <t>LP-UV-2</t>
  </si>
  <si>
    <t>MCP-UV</t>
  </si>
  <si>
    <t>LIGHTING CONTROL PANEL (LCP-AB)</t>
  </si>
  <si>
    <t>LIGHTING CONTROL PANEL (LCP-UV)</t>
  </si>
  <si>
    <t>EXISTING EFFLUENT PIT RECEPTACLE</t>
  </si>
  <si>
    <t>EXISTING EFFLUENT PIT LIGHTING</t>
  </si>
  <si>
    <t>51-FIT-1007</t>
  </si>
  <si>
    <t>FUTURE 51-FIT-1005</t>
  </si>
  <si>
    <t>LIGHTING PANEL</t>
  </si>
  <si>
    <t>Y</t>
  </si>
  <si>
    <t>LOCAL YARD RECEPTACLES</t>
  </si>
  <si>
    <t>RECEPTACLE AT CONSOLES</t>
  </si>
  <si>
    <t>CHLORINATION STRUCTURE EXHAUST/LIGHTS</t>
  </si>
  <si>
    <t>GARAGE DOOR</t>
  </si>
  <si>
    <t>UV DISINFECTION DAMPER 1 (44-H-1611)</t>
  </si>
  <si>
    <t>UV DISINFECTION DAMPER 2 (44-H-1621)</t>
  </si>
  <si>
    <t>UV DISINFECTION DAMPER 3 (44-H-1631)</t>
  </si>
  <si>
    <t>MCP-CB</t>
  </si>
  <si>
    <t>230V WALL OUTLET</t>
  </si>
  <si>
    <r>
      <rPr>
        <b/>
        <sz val="10"/>
        <color indexed="8"/>
        <rFont val="Arial"/>
        <family val="2"/>
      </rPr>
      <t xml:space="preserve">MCC-EBH </t>
    </r>
    <r>
      <rPr>
        <sz val="10"/>
        <color indexed="8"/>
        <rFont val="Arial"/>
        <family val="2"/>
      </rPr>
      <t>MOTOR LOADS</t>
    </r>
  </si>
  <si>
    <t>40/2</t>
  </si>
  <si>
    <t>WATER HEATER BREAKER 1</t>
  </si>
  <si>
    <t>WATER HEATER BREAKER 2</t>
  </si>
  <si>
    <t>WATER HEATER BREAKER 3</t>
  </si>
  <si>
    <t>51-FIT-1009</t>
  </si>
  <si>
    <t>44-FIT-1000</t>
  </si>
  <si>
    <t>MCC-AB2 LOW LEVEL RELAY SECTION (MCC-AB2 SECTION 12)</t>
  </si>
  <si>
    <t>MCC-AB3 LOW LEVEL RELAY SECTION (MCC-AB3 SECTION 12)</t>
  </si>
  <si>
    <t>FUTURE EQ BASIN CHEM PUMP AND ANALYZER</t>
  </si>
  <si>
    <t>FUTURE METHANOL PUMP EAST OF ANOXIC BASIN 3</t>
  </si>
  <si>
    <t>240VAC OUTLET AT MMWD TANK</t>
  </si>
  <si>
    <t>120VAC OUTLET AT MMWD TANK</t>
  </si>
  <si>
    <t>UV BUILDING OUTSIDE LIGHTS (5, F)</t>
  </si>
  <si>
    <t>UV BUILDING EXIT LIGHTS (5, G)</t>
  </si>
  <si>
    <t>UV BUILDING PROCESS AREA OUTLETS (2, M)</t>
  </si>
  <si>
    <t>UV BLDG ELECTRICAL ROOM OUTLETS (4, N)</t>
  </si>
  <si>
    <t>SAMPLE PUMP RECEPTACLES IN BIOASSAY (2, O)</t>
  </si>
  <si>
    <t>SAMPLE PUMP BY UV CHANNELS (4, R)</t>
  </si>
  <si>
    <t>DECHLOR PUMP (44-P-1900) AND ANALYZERS RECEPTICLES (2, P)</t>
  </si>
  <si>
    <t>STORAGE BUILDING EXHUAST FAN (97-H-1100)</t>
  </si>
  <si>
    <t>31-H-1110</t>
  </si>
  <si>
    <t>31-H-1210</t>
  </si>
  <si>
    <t>SC 2 LIGHTS AND OUTLET</t>
  </si>
  <si>
    <t>SC 1 LIGHTS AND OUTLET</t>
  </si>
  <si>
    <t>SITE LIGHTING 2 (4 LIGHTS)</t>
  </si>
  <si>
    <t>SITE LIGHTING 1 (3 LIGHTS)</t>
  </si>
  <si>
    <t>STORM DRAIN PUMP 1 (23-P-2100)</t>
  </si>
  <si>
    <t>STORM DRAIN PUMP 2 (23-P-2200)</t>
  </si>
  <si>
    <t>STORM DRAIN PUMP 3 (23-P-2300)</t>
  </si>
  <si>
    <t>51-FIT-1006</t>
  </si>
  <si>
    <t>51-M-1009 VAULT SUMP PUMP</t>
  </si>
  <si>
    <t>SUMP RECEPTCLE (42-P-1120)</t>
  </si>
  <si>
    <t>LP-RWDP</t>
  </si>
  <si>
    <t>PI-10</t>
  </si>
  <si>
    <t>PI-11</t>
  </si>
  <si>
    <t>PI-12</t>
  </si>
  <si>
    <t>PI-13</t>
  </si>
  <si>
    <t>FLOW VAULT SUMP</t>
  </si>
  <si>
    <t>PI-16</t>
  </si>
  <si>
    <t>23-FIT-1020</t>
  </si>
  <si>
    <t>PI-26</t>
  </si>
  <si>
    <t>52-AIT-1250</t>
  </si>
  <si>
    <t>52-AIT-1260</t>
  </si>
  <si>
    <t>44-AIT-1940</t>
  </si>
  <si>
    <t>44-P-1900</t>
  </si>
  <si>
    <t>44-FIT-1920</t>
  </si>
  <si>
    <t>SC 3 LIGHTS AND OUTLET (FUTURE)</t>
  </si>
  <si>
    <t>Chlorine analyzers</t>
  </si>
  <si>
    <t>not marked with voltage</t>
  </si>
  <si>
    <t>need 120vac right?</t>
  </si>
  <si>
    <t>POND RETURN SUMP</t>
  </si>
  <si>
    <t>42-FIT-1120</t>
  </si>
  <si>
    <t>43-P-1100</t>
  </si>
  <si>
    <t>43-P-1200</t>
  </si>
  <si>
    <t>DECLOR HEATER</t>
  </si>
  <si>
    <t>DECLOR HEAT TRACE</t>
  </si>
  <si>
    <t>43-LIT-1010</t>
  </si>
  <si>
    <t>43-LIT-1020</t>
  </si>
  <si>
    <t>CTC-RWDP</t>
  </si>
  <si>
    <t>OUTLETS</t>
  </si>
  <si>
    <t>SITE LIGHTS</t>
  </si>
  <si>
    <t>CTC-AB</t>
  </si>
  <si>
    <t>43-AIT-1630</t>
  </si>
  <si>
    <t>43-AIT-1600</t>
  </si>
  <si>
    <t>43-AIT-1610</t>
  </si>
  <si>
    <t>43-AIT-1620</t>
  </si>
  <si>
    <t>SAMPLING PUMP</t>
  </si>
  <si>
    <t>23-LIT-1002</t>
  </si>
  <si>
    <t>61-LIT-1000</t>
  </si>
  <si>
    <t>43-P-1300</t>
  </si>
  <si>
    <t>MF3-M-1 PROCESS SKID 3</t>
  </si>
  <si>
    <t>MF4-M-1 PROCESS SKID 4</t>
  </si>
  <si>
    <t>62-FIT-2620</t>
  </si>
  <si>
    <t>THICKENER LIGHTS</t>
  </si>
  <si>
    <t>OUTLETS AT THICKENER</t>
  </si>
  <si>
    <t>PLC-MCC3</t>
  </si>
  <si>
    <t>LIGHTS</t>
  </si>
  <si>
    <t>OUTDOOR LIGHTS</t>
  </si>
  <si>
    <t>43-AIT-1340</t>
  </si>
  <si>
    <t>43-P-1400</t>
  </si>
  <si>
    <t>43-P-1500</t>
  </si>
  <si>
    <t>CTC-MMWD</t>
  </si>
  <si>
    <t>43-AIT-1650</t>
  </si>
  <si>
    <t>43-AIT-1660</t>
  </si>
  <si>
    <t>52-AIT-1200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</si>
</sst>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000"/>
    <numFmt numFmtId="170" formatCode="0.000"/>
    <numFmt numFmtId="171" formatCode="0.0"/>
    <numFmt numFmtId="172" formatCode="General_)"/>
    <numFmt numFmtId="173" formatCode="0.0_)"/>
    <numFmt numFmtId="174" formatCode="dd\-mmm\-yy_)"/>
    <numFmt numFmtId="175" formatCode="_(* #,##0.0_);_(* \(#,##0.0\);_(* &quot;-&quot;??_);_(@_)"/>
    <numFmt numFmtId="176" formatCode="0.000_)"/>
    <numFmt numFmtId="177" formatCode="0_)"/>
    <numFmt numFmtId="178" formatCode="&quot;$&quot;#,##0.0\ ;\(&quot;$&quot;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sz val="12"/>
      <color indexed="24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23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i/>
      <sz val="10"/>
      <color theme="1" tint="0.4999800026416778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7" borderId="1" applyNumberFormat="0" applyFont="0" applyAlignment="0" applyProtection="0"/>
    <xf numFmtId="0" fontId="31" fillId="28" borderId="2" applyNumberFormat="0" applyAlignment="0" applyProtection="0"/>
    <xf numFmtId="0" fontId="32" fillId="29" borderId="3" applyNumberFormat="0" applyAlignment="0" applyProtection="0"/>
    <xf numFmtId="0" fontId="7" fillId="30" borderId="1" applyNumberFormat="0" applyFon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2" applyNumberFormat="0" applyAlignment="0" applyProtection="0"/>
    <xf numFmtId="0" fontId="39" fillId="0" borderId="5" applyNumberFormat="0" applyFill="0" applyAlignment="0" applyProtection="0"/>
    <xf numFmtId="0" fontId="40" fillId="33" borderId="0" applyNumberFormat="0" applyBorder="0" applyAlignment="0" applyProtection="0"/>
    <xf numFmtId="0" fontId="7" fillId="20" borderId="1" applyNumberFormat="0" applyFont="0" applyAlignment="0" applyProtection="0"/>
    <xf numFmtId="0" fontId="0" fillId="34" borderId="6" applyNumberFormat="0" applyFont="0" applyAlignment="0" applyProtection="0"/>
    <xf numFmtId="0" fontId="41" fillId="28" borderId="7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8" applyNumberFormat="0" applyFont="0" applyFill="0" applyAlignment="0" applyProtection="0"/>
    <xf numFmtId="0" fontId="7" fillId="35" borderId="1" applyNumberFormat="0" applyFont="0" applyAlignment="0" applyProtection="0"/>
    <xf numFmtId="0" fontId="43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71" fontId="6" fillId="0" borderId="9" xfId="0" applyNumberFormat="1" applyFont="1" applyBorder="1" applyAlignment="1">
      <alignment horizontal="center"/>
    </xf>
    <xf numFmtId="171" fontId="4" fillId="0" borderId="1" xfId="0" applyNumberFormat="1" applyFont="1" applyBorder="1" applyAlignment="1">
      <alignment/>
    </xf>
    <xf numFmtId="171" fontId="4" fillId="0" borderId="9" xfId="0" applyNumberFormat="1" applyFont="1" applyBorder="1" applyAlignment="1">
      <alignment horizontal="right"/>
    </xf>
    <xf numFmtId="171" fontId="4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171" fontId="6" fillId="0" borderId="9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71" fontId="4" fillId="0" borderId="0" xfId="0" applyNumberFormat="1" applyFont="1" applyBorder="1" applyAlignment="1">
      <alignment/>
    </xf>
    <xf numFmtId="171" fontId="4" fillId="0" borderId="11" xfId="0" applyNumberFormat="1" applyFont="1" applyBorder="1" applyAlignment="1">
      <alignment horizontal="right"/>
    </xf>
    <xf numFmtId="0" fontId="4" fillId="0" borderId="10" xfId="0" applyFont="1" applyBorder="1" applyAlignment="1" quotePrefix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/>
    </xf>
    <xf numFmtId="171" fontId="4" fillId="0" borderId="14" xfId="0" applyNumberFormat="1" applyFont="1" applyBorder="1" applyAlignment="1">
      <alignment horizontal="right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 quotePrefix="1">
      <alignment horizontal="center"/>
    </xf>
    <xf numFmtId="0" fontId="4" fillId="0" borderId="1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171" fontId="4" fillId="0" borderId="1" xfId="0" applyNumberFormat="1" applyFont="1" applyBorder="1" applyAlignment="1">
      <alignment horizontal="center"/>
    </xf>
    <xf numFmtId="171" fontId="4" fillId="0" borderId="16" xfId="0" applyNumberFormat="1" applyFont="1" applyBorder="1" applyAlignment="1">
      <alignment/>
    </xf>
    <xf numFmtId="171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36" borderId="1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17" fontId="4" fillId="0" borderId="0" xfId="0" applyNumberFormat="1" applyFont="1" applyBorder="1" applyAlignment="1" applyProtection="1" quotePrefix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4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/>
    </xf>
    <xf numFmtId="0" fontId="45" fillId="0" borderId="1" xfId="0" applyFont="1" applyBorder="1" applyAlignment="1">
      <alignment horizontal="center"/>
    </xf>
    <xf numFmtId="0" fontId="44" fillId="0" borderId="9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right"/>
    </xf>
    <xf numFmtId="1" fontId="4" fillId="0" borderId="1" xfId="0" applyNumberFormat="1" applyFont="1" applyBorder="1" applyAlignment="1">
      <alignment horizontal="center"/>
    </xf>
    <xf numFmtId="1" fontId="4" fillId="36" borderId="1" xfId="0" applyNumberFormat="1" applyFont="1" applyFill="1" applyBorder="1" applyAlignment="1">
      <alignment horizontal="center"/>
    </xf>
    <xf numFmtId="1" fontId="4" fillId="37" borderId="1" xfId="0" applyNumberFormat="1" applyFont="1" applyFill="1" applyBorder="1" applyAlignment="1">
      <alignment horizontal="center"/>
    </xf>
    <xf numFmtId="1" fontId="7" fillId="37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 quotePrefix="1">
      <alignment horizontal="left"/>
    </xf>
    <xf numFmtId="0" fontId="4" fillId="0" borderId="13" xfId="0" applyFont="1" applyBorder="1" applyAlignment="1">
      <alignment horizontal="left"/>
    </xf>
    <xf numFmtId="171" fontId="4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" fontId="46" fillId="0" borderId="1" xfId="0" applyNumberFormat="1" applyFont="1" applyBorder="1" applyAlignment="1">
      <alignment horizontal="center"/>
    </xf>
    <xf numFmtId="1" fontId="46" fillId="37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9" xfId="0" applyFont="1" applyBorder="1" applyAlignment="1" quotePrefix="1">
      <alignment horizontal="center"/>
    </xf>
    <xf numFmtId="0" fontId="4" fillId="0" borderId="15" xfId="0" applyFont="1" applyBorder="1" applyAlignment="1" quotePrefix="1">
      <alignment horizont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" xfId="0" applyFont="1" applyBorder="1" applyAlignment="1" quotePrefix="1">
      <alignment vertical="center"/>
    </xf>
    <xf numFmtId="0" fontId="4" fillId="0" borderId="1" xfId="0" applyFont="1" applyFill="1" applyBorder="1" applyAlignment="1">
      <alignment vertical="center"/>
    </xf>
    <xf numFmtId="0" fontId="47" fillId="0" borderId="1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27" borderId="1" xfId="40" applyFont="1" applyAlignment="1">
      <alignment horizontal="center"/>
    </xf>
    <xf numFmtId="1" fontId="7" fillId="0" borderId="1" xfId="67" applyNumberFormat="1" applyFont="1" applyFill="1" applyAlignment="1">
      <alignment horizontal="center"/>
    </xf>
    <xf numFmtId="0" fontId="4" fillId="0" borderId="1" xfId="67" applyFont="1" applyFill="1" applyAlignment="1">
      <alignment vertical="center"/>
    </xf>
    <xf numFmtId="1" fontId="46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9" xfId="0" applyFont="1" applyBorder="1" applyAlignment="1">
      <alignment/>
    </xf>
    <xf numFmtId="0" fontId="4" fillId="0" borderId="9" xfId="0" applyFont="1" applyBorder="1" applyAlignment="1" quotePrefix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right"/>
    </xf>
    <xf numFmtId="0" fontId="4" fillId="0" borderId="18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1" fontId="46" fillId="0" borderId="1" xfId="0" applyNumberFormat="1" applyFont="1" applyBorder="1" applyAlignment="1">
      <alignment horizontal="center" vertical="center"/>
    </xf>
    <xf numFmtId="1" fontId="7" fillId="36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/>
    </xf>
    <xf numFmtId="0" fontId="4" fillId="0" borderId="1" xfId="0" applyFont="1" applyBorder="1" applyAlignment="1" quotePrefix="1">
      <alignment horizontal="left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1" fontId="4" fillId="0" borderId="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7" fillId="0" borderId="1" xfId="0" applyFont="1" applyBorder="1" applyAlignment="1">
      <alignment horizontal="left" vertical="center"/>
    </xf>
    <xf numFmtId="0" fontId="4" fillId="3" borderId="0" xfId="0" applyFont="1" applyFill="1" applyAlignment="1">
      <alignment/>
    </xf>
    <xf numFmtId="0" fontId="4" fillId="27" borderId="1" xfId="0" applyFont="1" applyFill="1" applyBorder="1" applyAlignment="1">
      <alignment horizontal="left"/>
    </xf>
    <xf numFmtId="0" fontId="4" fillId="27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1" fontId="46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/>
    </xf>
    <xf numFmtId="0" fontId="4" fillId="0" borderId="1" xfId="0" applyFont="1" applyFill="1" applyBorder="1" applyAlignment="1" quotePrefix="1">
      <alignment horizontal="left"/>
    </xf>
    <xf numFmtId="0" fontId="7" fillId="0" borderId="1" xfId="4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2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ank" xfId="40"/>
    <cellStyle name="Calculation" xfId="41"/>
    <cellStyle name="Check Cell" xfId="42"/>
    <cellStyle name="Checked" xfId="43"/>
    <cellStyle name="Comma" xfId="44"/>
    <cellStyle name="Comma0" xfId="45"/>
    <cellStyle name="Currency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 Finalized" xfId="61"/>
    <cellStyle name="Note" xfId="62"/>
    <cellStyle name="Output" xfId="63"/>
    <cellStyle name="Percent" xfId="64"/>
    <cellStyle name="Title" xfId="65"/>
    <cellStyle name="Total" xfId="66"/>
    <cellStyle name="Verify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96"/>
  <sheetViews>
    <sheetView zoomScalePageLayoutView="0" workbookViewId="0" topLeftCell="A22">
      <selection activeCell="E37" sqref="E37"/>
    </sheetView>
  </sheetViews>
  <sheetFormatPr defaultColWidth="9.7109375" defaultRowHeight="12.75" customHeight="1"/>
  <cols>
    <col min="1" max="1" width="45.140625" style="2" bestFit="1" customWidth="1"/>
    <col min="2" max="2" width="12.00390625" style="2" bestFit="1" customWidth="1"/>
    <col min="3" max="4" width="8.7109375" style="2" customWidth="1"/>
    <col min="5" max="5" width="12.7109375" style="2" bestFit="1" customWidth="1"/>
    <col min="6" max="6" width="26.00390625" style="2" bestFit="1" customWidth="1"/>
    <col min="7" max="7" width="10.7109375" style="2" customWidth="1"/>
    <col min="8" max="8" width="17.00390625" style="2" bestFit="1" customWidth="1"/>
    <col min="9" max="9" width="10.7109375" style="2" customWidth="1"/>
    <col min="10" max="10" width="16.8515625" style="2" bestFit="1" customWidth="1"/>
    <col min="11" max="11" width="9.7109375" style="2" customWidth="1"/>
    <col min="12" max="12" width="26.00390625" style="2" bestFit="1" customWidth="1"/>
    <col min="13" max="14" width="25.8515625" style="2" bestFit="1" customWidth="1"/>
    <col min="15" max="16" width="9.7109375" style="2" customWidth="1"/>
    <col min="17" max="17" width="3.28125" style="2" customWidth="1"/>
    <col min="18" max="19" width="9.7109375" style="2" customWidth="1"/>
    <col min="20" max="21" width="14.00390625" style="2" bestFit="1" customWidth="1"/>
    <col min="22" max="16384" width="9.7109375" style="2" customWidth="1"/>
  </cols>
  <sheetData>
    <row r="3" spans="1:5" ht="12.75" customHeight="1">
      <c r="A3" s="3" t="s">
        <v>0</v>
      </c>
      <c r="B3" s="171" t="str">
        <f ca="1">MID(CELL("filename"),SEARCH("[",CELL("filename"))+1,SEARCH("]",CELL("filename"))-SEARCH("[",CELL("filename"))-1)</f>
        <v>01 Las Gallinas Electrical Calculations.xls</v>
      </c>
      <c r="C3" s="171"/>
      <c r="D3" s="171"/>
      <c r="E3" s="171"/>
    </row>
    <row r="4" spans="1:5" ht="12.75" customHeight="1">
      <c r="A4" s="3" t="s">
        <v>1</v>
      </c>
      <c r="B4" s="172"/>
      <c r="C4" s="172"/>
      <c r="D4" s="172"/>
      <c r="E4" s="172"/>
    </row>
    <row r="5" ht="12.75" customHeight="1">
      <c r="A5" s="3" t="s">
        <v>2</v>
      </c>
    </row>
    <row r="8" spans="1:5" ht="12.75" customHeight="1">
      <c r="A8" s="173" t="s">
        <v>42</v>
      </c>
      <c r="B8" s="173"/>
      <c r="C8" s="173"/>
      <c r="D8" s="173"/>
      <c r="E8" s="173"/>
    </row>
    <row r="9" spans="1:6" ht="12.75" customHeight="1">
      <c r="A9" s="5"/>
      <c r="B9" s="5"/>
      <c r="C9" s="5"/>
      <c r="D9" s="5"/>
      <c r="E9" s="5"/>
      <c r="F9" s="5"/>
    </row>
    <row r="10" spans="1:5" ht="12.75" customHeight="1">
      <c r="A10" s="6" t="s">
        <v>3</v>
      </c>
      <c r="B10" s="7" t="s">
        <v>43</v>
      </c>
      <c r="C10" s="7" t="s">
        <v>4</v>
      </c>
      <c r="D10" s="7" t="s">
        <v>5</v>
      </c>
      <c r="E10" s="7" t="s">
        <v>6</v>
      </c>
    </row>
    <row r="11" spans="1:5" ht="12.75" customHeight="1">
      <c r="A11" s="7" t="s">
        <v>44</v>
      </c>
      <c r="B11" s="8"/>
      <c r="C11" s="9"/>
      <c r="D11" s="9"/>
      <c r="E11" s="9"/>
    </row>
    <row r="12" spans="1:5" ht="12.75" customHeight="1">
      <c r="A12" s="6" t="s">
        <v>45</v>
      </c>
      <c r="B12" s="10"/>
      <c r="C12" s="11">
        <f>B12*1.25/0.8</f>
        <v>0</v>
      </c>
      <c r="D12" s="11"/>
      <c r="E12" s="11">
        <f>C12*1000/(1.73*480)</f>
        <v>0</v>
      </c>
    </row>
    <row r="13" spans="1:5" ht="12.75" customHeight="1">
      <c r="A13" s="12"/>
      <c r="B13" s="13"/>
      <c r="C13" s="11"/>
      <c r="D13" s="11"/>
      <c r="E13" s="11"/>
    </row>
    <row r="14" spans="1:5" ht="13.5" customHeight="1">
      <c r="A14" s="7" t="s">
        <v>47</v>
      </c>
      <c r="B14" s="13"/>
      <c r="C14" s="11"/>
      <c r="D14" s="11"/>
      <c r="E14" s="11"/>
    </row>
    <row r="15" spans="1:6" ht="12.75" customHeight="1">
      <c r="A15" s="12"/>
      <c r="B15" s="13"/>
      <c r="C15" s="11"/>
      <c r="D15" s="11"/>
      <c r="E15" s="11">
        <f>F15</f>
        <v>0</v>
      </c>
      <c r="F15" s="2">
        <f>VLOOKUP(D15,FLA_Table,2,TRUE)</f>
        <v>0</v>
      </c>
    </row>
    <row r="16" spans="1:6" ht="12.75" customHeight="1">
      <c r="A16" s="12"/>
      <c r="B16" s="13"/>
      <c r="C16" s="11"/>
      <c r="D16" s="11"/>
      <c r="E16" s="11">
        <f>F16</f>
        <v>0</v>
      </c>
      <c r="F16" s="2">
        <f>VLOOKUP(D16,FLA_Table,2,TRUE)</f>
        <v>0</v>
      </c>
    </row>
    <row r="17" spans="1:6" ht="12.75" customHeight="1">
      <c r="A17" s="12"/>
      <c r="B17" s="13"/>
      <c r="C17" s="11"/>
      <c r="D17" s="11"/>
      <c r="E17" s="11">
        <f>F17</f>
        <v>0</v>
      </c>
      <c r="F17" s="2">
        <f>VLOOKUP(D17,FLA_Table,2,TRUE)</f>
        <v>0</v>
      </c>
    </row>
    <row r="18" spans="1:6" ht="12.75" customHeight="1">
      <c r="A18" s="12"/>
      <c r="B18" s="13"/>
      <c r="C18" s="11"/>
      <c r="D18" s="11"/>
      <c r="E18" s="11">
        <f>F18</f>
        <v>0</v>
      </c>
      <c r="F18" s="2">
        <f>VLOOKUP(D18,FLA_Table,2,TRUE)</f>
        <v>0</v>
      </c>
    </row>
    <row r="19" spans="1:6" ht="12.75" customHeight="1">
      <c r="A19" s="6"/>
      <c r="B19" s="10"/>
      <c r="C19" s="11"/>
      <c r="D19" s="11"/>
      <c r="E19" s="11">
        <f>F19</f>
        <v>0</v>
      </c>
      <c r="F19" s="2">
        <f>VLOOKUP(D19:D31,FLA_Table,2,TRUE)</f>
        <v>0</v>
      </c>
    </row>
    <row r="20" spans="1:5" ht="12.75" customHeight="1">
      <c r="A20" s="6"/>
      <c r="B20" s="10"/>
      <c r="C20" s="11"/>
      <c r="D20" s="11"/>
      <c r="E20" s="11"/>
    </row>
    <row r="21" spans="1:5" ht="12.75" customHeight="1">
      <c r="A21" s="7" t="s">
        <v>51</v>
      </c>
      <c r="B21" s="13"/>
      <c r="C21" s="11"/>
      <c r="D21" s="11"/>
      <c r="E21" s="11"/>
    </row>
    <row r="22" spans="1:5" ht="12.75" customHeight="1">
      <c r="A22" s="14"/>
      <c r="B22" s="10"/>
      <c r="C22" s="11"/>
      <c r="D22" s="11"/>
      <c r="E22" s="11">
        <f>(C22*1000)/(1.73*480)</f>
        <v>0</v>
      </c>
    </row>
    <row r="23" spans="1:5" ht="12.75" customHeight="1">
      <c r="A23" s="6"/>
      <c r="B23" s="10"/>
      <c r="C23" s="11"/>
      <c r="D23" s="11"/>
      <c r="E23" s="11"/>
    </row>
    <row r="24" spans="1:5" ht="12.75" customHeight="1">
      <c r="A24" s="15" t="s">
        <v>7</v>
      </c>
      <c r="B24" s="16"/>
      <c r="C24" s="17"/>
      <c r="D24" s="17"/>
      <c r="E24" s="18">
        <f>SUM(E15:E22)</f>
        <v>0</v>
      </c>
    </row>
    <row r="25" spans="1:5" ht="12.75" customHeight="1">
      <c r="A25" s="19" t="s">
        <v>8</v>
      </c>
      <c r="B25" s="16"/>
      <c r="C25" s="17"/>
      <c r="D25" s="17"/>
      <c r="E25" s="18">
        <f>MAX(E15:E19)*0.25</f>
        <v>0</v>
      </c>
    </row>
    <row r="26" spans="1:5" ht="12.75" customHeight="1">
      <c r="A26" s="15" t="s">
        <v>9</v>
      </c>
      <c r="B26" s="16"/>
      <c r="C26" s="17"/>
      <c r="D26" s="17"/>
      <c r="E26" s="18">
        <f>SUM(E24:E25)</f>
        <v>0</v>
      </c>
    </row>
    <row r="27" spans="1:5" ht="12.75" customHeight="1">
      <c r="A27" s="20" t="s">
        <v>46</v>
      </c>
      <c r="B27" s="21"/>
      <c r="C27" s="21"/>
      <c r="D27" s="21"/>
      <c r="E27" s="22"/>
    </row>
    <row r="29" spans="1:4" ht="12.75" customHeight="1">
      <c r="A29" s="173" t="s">
        <v>10</v>
      </c>
      <c r="B29" s="173"/>
      <c r="C29" s="173"/>
      <c r="D29" s="173"/>
    </row>
    <row r="30" spans="3:6" ht="12.75" customHeight="1">
      <c r="C30" s="5"/>
      <c r="D30" s="5"/>
      <c r="E30" s="5"/>
      <c r="F30" s="5"/>
    </row>
    <row r="31" spans="1:12" ht="12.75" customHeight="1">
      <c r="A31" s="6" t="s">
        <v>49</v>
      </c>
      <c r="B31" s="7" t="s">
        <v>4</v>
      </c>
      <c r="C31" s="7" t="s">
        <v>5</v>
      </c>
      <c r="D31" s="7" t="s">
        <v>6</v>
      </c>
      <c r="E31" s="52" t="s">
        <v>61</v>
      </c>
      <c r="F31" s="52" t="s">
        <v>6</v>
      </c>
      <c r="G31" s="53"/>
      <c r="H31" s="52" t="s">
        <v>62</v>
      </c>
      <c r="I31" s="53"/>
      <c r="J31" s="52" t="s">
        <v>63</v>
      </c>
      <c r="L31" s="2" t="s">
        <v>204</v>
      </c>
    </row>
    <row r="32" spans="1:5" ht="12.75" customHeight="1">
      <c r="A32" s="12"/>
      <c r="B32" s="11"/>
      <c r="C32" s="11"/>
      <c r="D32" s="11"/>
      <c r="E32" s="1"/>
    </row>
    <row r="33" spans="1:12" ht="12.75" customHeight="1">
      <c r="A33" s="7" t="s">
        <v>95</v>
      </c>
      <c r="B33" s="11"/>
      <c r="C33" s="11"/>
      <c r="D33" s="11"/>
      <c r="E33" s="1"/>
      <c r="L33" s="2" t="s">
        <v>205</v>
      </c>
    </row>
    <row r="34" spans="1:12" ht="12.75" customHeight="1">
      <c r="A34" s="6" t="s">
        <v>164</v>
      </c>
      <c r="B34" s="11"/>
      <c r="C34" s="11">
        <v>0.5</v>
      </c>
      <c r="D34" s="11">
        <f aca="true" t="shared" si="0" ref="D34:D48">F34</f>
        <v>1.1</v>
      </c>
      <c r="E34" s="1" t="s">
        <v>60</v>
      </c>
      <c r="F34" s="2">
        <f aca="true" t="shared" si="1" ref="F34:F49">(((INDEX($C$69:$C$96,MATCH(C34,$B$69:$B$96,1)+1))-(VLOOKUP(C34,FLA_Table,2,TRUE)))/((INDEX($B$69:$B$96,MATCH(C34,$B$69:$B$96,1)+1))-(VLOOKUP(C34,FLA_Table,1,TRUE))))*(C34-VLOOKUP(C34,FLA_Table,1,TRUE))+VLOOKUP(C34,FLA_Table,2,TRUE)</f>
        <v>1.1</v>
      </c>
      <c r="H34" s="2">
        <f aca="true" t="shared" si="2" ref="H34:H49">IF(C34=VLOOKUP(C34,FLA_Table,1,TRUE),IF(OR(E34="y",E34="yes"),VLOOKUP(C34,FLA_Table,4,TRUE),VLOOKUP(C34,FLA_Table,3,TRUE)),IF(OR(E34="y",E34="yes"),INDEX($E$69:$E$96,MATCH(C34,$B$69:$B$96,1)+1),INDEX($D$69:$D$96,MATCH(C34,$B$69:$B$96,1)+1)))</f>
        <v>3</v>
      </c>
      <c r="J34" s="2" t="str">
        <f aca="true" t="shared" si="3" ref="J34:J49">VLOOKUP(C34,FLA_Table,5,TRUE)</f>
        <v>3 #12 W/ #12 GND</v>
      </c>
      <c r="L34" s="3" t="s">
        <v>207</v>
      </c>
    </row>
    <row r="35" spans="1:12" ht="12.75" customHeight="1">
      <c r="A35" s="6" t="s">
        <v>165</v>
      </c>
      <c r="B35" s="11"/>
      <c r="C35" s="11">
        <v>0.5</v>
      </c>
      <c r="D35" s="11">
        <f t="shared" si="0"/>
        <v>1.1</v>
      </c>
      <c r="E35" s="1" t="s">
        <v>60</v>
      </c>
      <c r="F35" s="2">
        <f t="shared" si="1"/>
        <v>1.1</v>
      </c>
      <c r="H35" s="2">
        <f t="shared" si="2"/>
        <v>3</v>
      </c>
      <c r="J35" s="2" t="str">
        <f t="shared" si="3"/>
        <v>3 #12 W/ #12 GND</v>
      </c>
      <c r="L35" s="3" t="s">
        <v>207</v>
      </c>
    </row>
    <row r="36" spans="1:12" ht="12.75" customHeight="1">
      <c r="A36" s="6" t="s">
        <v>185</v>
      </c>
      <c r="B36" s="11"/>
      <c r="C36" s="11">
        <v>3</v>
      </c>
      <c r="D36" s="11">
        <f t="shared" si="0"/>
        <v>4.8</v>
      </c>
      <c r="E36" s="1" t="s">
        <v>60</v>
      </c>
      <c r="F36" s="2">
        <f t="shared" si="1"/>
        <v>4.8</v>
      </c>
      <c r="H36" s="2">
        <f t="shared" si="2"/>
        <v>10</v>
      </c>
      <c r="J36" s="2" t="str">
        <f t="shared" si="3"/>
        <v>3 #12 W/ #12 GND</v>
      </c>
      <c r="L36" s="3" t="s">
        <v>207</v>
      </c>
    </row>
    <row r="37" spans="1:12" ht="12.75" customHeight="1">
      <c r="A37" s="6" t="s">
        <v>184</v>
      </c>
      <c r="B37" s="11"/>
      <c r="C37" s="11">
        <v>5</v>
      </c>
      <c r="D37" s="11">
        <f t="shared" si="0"/>
        <v>7.6</v>
      </c>
      <c r="E37" s="1" t="s">
        <v>60</v>
      </c>
      <c r="F37" s="2">
        <f t="shared" si="1"/>
        <v>7.6</v>
      </c>
      <c r="H37" s="2">
        <f t="shared" si="2"/>
        <v>15</v>
      </c>
      <c r="J37" s="2" t="str">
        <f t="shared" si="3"/>
        <v>3 #12 W/ #12 GND</v>
      </c>
      <c r="L37" s="3" t="s">
        <v>207</v>
      </c>
    </row>
    <row r="38" spans="1:12" ht="12.75" customHeight="1">
      <c r="A38" s="6" t="s">
        <v>186</v>
      </c>
      <c r="B38" s="11"/>
      <c r="C38" s="11">
        <v>10</v>
      </c>
      <c r="D38" s="11">
        <f t="shared" si="0"/>
        <v>14</v>
      </c>
      <c r="E38" s="1" t="s">
        <v>60</v>
      </c>
      <c r="F38" s="2">
        <f t="shared" si="1"/>
        <v>14</v>
      </c>
      <c r="H38" s="2">
        <f t="shared" si="2"/>
        <v>30</v>
      </c>
      <c r="J38" s="2" t="str">
        <f t="shared" si="3"/>
        <v>3 #12 W/ #12 GND</v>
      </c>
      <c r="L38" s="3" t="s">
        <v>207</v>
      </c>
    </row>
    <row r="39" spans="1:12" ht="12.75" customHeight="1">
      <c r="A39" s="6" t="s">
        <v>187</v>
      </c>
      <c r="B39" s="11"/>
      <c r="C39" s="11">
        <v>10</v>
      </c>
      <c r="D39" s="11" t="s">
        <v>111</v>
      </c>
      <c r="E39" s="1" t="s">
        <v>60</v>
      </c>
      <c r="F39" s="2">
        <f t="shared" si="1"/>
        <v>14</v>
      </c>
      <c r="H39" s="2">
        <f t="shared" si="2"/>
        <v>30</v>
      </c>
      <c r="J39" s="2" t="str">
        <f t="shared" si="3"/>
        <v>3 #12 W/ #12 GND</v>
      </c>
      <c r="L39" s="3" t="s">
        <v>207</v>
      </c>
    </row>
    <row r="40" spans="1:12" ht="12.75" customHeight="1">
      <c r="A40" s="6" t="s">
        <v>202</v>
      </c>
      <c r="B40" s="11"/>
      <c r="C40" s="11">
        <v>10</v>
      </c>
      <c r="D40" s="11">
        <f>F40</f>
        <v>14</v>
      </c>
      <c r="E40" s="1" t="s">
        <v>60</v>
      </c>
      <c r="F40" s="2">
        <f t="shared" si="1"/>
        <v>14</v>
      </c>
      <c r="H40" s="2">
        <f t="shared" si="2"/>
        <v>30</v>
      </c>
      <c r="J40" s="2" t="str">
        <f>VLOOKUP(C40,FLA_Table,5,TRUE)</f>
        <v>3 #12 W/ #12 GND</v>
      </c>
      <c r="L40" s="3" t="s">
        <v>207</v>
      </c>
    </row>
    <row r="41" spans="1:12" ht="12.75" customHeight="1">
      <c r="A41" s="6" t="s">
        <v>203</v>
      </c>
      <c r="B41" s="11"/>
      <c r="C41" s="11">
        <v>10</v>
      </c>
      <c r="D41" s="11" t="s">
        <v>111</v>
      </c>
      <c r="E41" s="1" t="s">
        <v>60</v>
      </c>
      <c r="F41" s="2">
        <f t="shared" si="1"/>
        <v>14</v>
      </c>
      <c r="H41" s="2">
        <f t="shared" si="2"/>
        <v>30</v>
      </c>
      <c r="J41" s="2" t="str">
        <f>VLOOKUP(C41,FLA_Table,5,TRUE)</f>
        <v>3 #12 W/ #12 GND</v>
      </c>
      <c r="L41" s="3" t="s">
        <v>207</v>
      </c>
    </row>
    <row r="42" spans="1:12" ht="12.75" customHeight="1">
      <c r="A42" s="6" t="s">
        <v>188</v>
      </c>
      <c r="B42" s="11"/>
      <c r="C42" s="11">
        <v>40</v>
      </c>
      <c r="D42" s="11">
        <f t="shared" si="0"/>
        <v>52</v>
      </c>
      <c r="E42" s="1" t="s">
        <v>112</v>
      </c>
      <c r="F42" s="2">
        <f t="shared" si="1"/>
        <v>52</v>
      </c>
      <c r="H42" s="2">
        <f t="shared" si="2"/>
        <v>80</v>
      </c>
      <c r="J42" s="2" t="str">
        <f t="shared" si="3"/>
        <v>3 #6 W/ #8 GND</v>
      </c>
      <c r="L42" s="3" t="s">
        <v>206</v>
      </c>
    </row>
    <row r="43" spans="1:12" ht="12.75" customHeight="1">
      <c r="A43" s="6" t="s">
        <v>189</v>
      </c>
      <c r="B43" s="11"/>
      <c r="C43" s="11">
        <v>1.5</v>
      </c>
      <c r="D43" s="11">
        <f t="shared" si="0"/>
        <v>3</v>
      </c>
      <c r="E43" s="1" t="s">
        <v>60</v>
      </c>
      <c r="F43" s="2">
        <f t="shared" si="1"/>
        <v>3</v>
      </c>
      <c r="H43" s="2">
        <f t="shared" si="2"/>
        <v>7</v>
      </c>
      <c r="J43" s="2" t="str">
        <f t="shared" si="3"/>
        <v>3 #12 W/ #12 GND</v>
      </c>
      <c r="L43" s="3" t="s">
        <v>206</v>
      </c>
    </row>
    <row r="44" spans="1:12" ht="12.75" customHeight="1">
      <c r="A44" s="6" t="s">
        <v>190</v>
      </c>
      <c r="B44" s="11"/>
      <c r="C44" s="11">
        <v>1.5</v>
      </c>
      <c r="D44" s="11">
        <f t="shared" si="0"/>
        <v>3</v>
      </c>
      <c r="E44" s="1" t="s">
        <v>60</v>
      </c>
      <c r="F44" s="2">
        <f t="shared" si="1"/>
        <v>3</v>
      </c>
      <c r="H44" s="2">
        <f t="shared" si="2"/>
        <v>7</v>
      </c>
      <c r="J44" s="2" t="str">
        <f t="shared" si="3"/>
        <v>3 #12 W/ #12 GND</v>
      </c>
      <c r="L44" s="3" t="s">
        <v>207</v>
      </c>
    </row>
    <row r="45" spans="1:12" ht="12.75" customHeight="1">
      <c r="A45" s="6" t="s">
        <v>191</v>
      </c>
      <c r="B45" s="11"/>
      <c r="C45" s="11">
        <v>1.5</v>
      </c>
      <c r="D45" s="11">
        <f t="shared" si="0"/>
        <v>3</v>
      </c>
      <c r="E45" s="1" t="s">
        <v>60</v>
      </c>
      <c r="F45" s="2">
        <f t="shared" si="1"/>
        <v>3</v>
      </c>
      <c r="H45" s="2">
        <f t="shared" si="2"/>
        <v>7</v>
      </c>
      <c r="J45" s="2" t="str">
        <f t="shared" si="3"/>
        <v>3 #12 W/ #12 GND</v>
      </c>
      <c r="L45" s="3" t="s">
        <v>207</v>
      </c>
    </row>
    <row r="46" spans="1:12" ht="12.75" customHeight="1">
      <c r="A46" s="6" t="s">
        <v>192</v>
      </c>
      <c r="B46" s="11"/>
      <c r="C46" s="11">
        <v>7.5</v>
      </c>
      <c r="D46" s="11">
        <f t="shared" si="0"/>
        <v>11</v>
      </c>
      <c r="E46" s="1" t="s">
        <v>112</v>
      </c>
      <c r="F46" s="2">
        <f t="shared" si="1"/>
        <v>11</v>
      </c>
      <c r="H46" s="2">
        <f t="shared" si="2"/>
        <v>15</v>
      </c>
      <c r="J46" s="2" t="str">
        <f t="shared" si="3"/>
        <v>3 #12 W/ #12 GND</v>
      </c>
      <c r="L46" s="3" t="s">
        <v>206</v>
      </c>
    </row>
    <row r="47" spans="1:12" ht="12.75" customHeight="1">
      <c r="A47" s="6" t="s">
        <v>193</v>
      </c>
      <c r="B47" s="11"/>
      <c r="C47" s="11">
        <v>7.5</v>
      </c>
      <c r="D47" s="11">
        <f t="shared" si="0"/>
        <v>11</v>
      </c>
      <c r="E47" s="1" t="s">
        <v>112</v>
      </c>
      <c r="F47" s="2">
        <f t="shared" si="1"/>
        <v>11</v>
      </c>
      <c r="H47" s="2">
        <f t="shared" si="2"/>
        <v>15</v>
      </c>
      <c r="J47" s="2" t="str">
        <f t="shared" si="3"/>
        <v>3 #12 W/ #12 GND</v>
      </c>
      <c r="L47" s="3" t="s">
        <v>206</v>
      </c>
    </row>
    <row r="48" spans="1:12" ht="12.75" customHeight="1">
      <c r="A48" s="6" t="s">
        <v>194</v>
      </c>
      <c r="B48" s="11"/>
      <c r="C48" s="11">
        <v>7.5</v>
      </c>
      <c r="D48" s="11">
        <f t="shared" si="0"/>
        <v>11</v>
      </c>
      <c r="E48" s="1" t="s">
        <v>112</v>
      </c>
      <c r="F48" s="2">
        <f t="shared" si="1"/>
        <v>11</v>
      </c>
      <c r="H48" s="2">
        <f t="shared" si="2"/>
        <v>15</v>
      </c>
      <c r="J48" s="2" t="str">
        <f t="shared" si="3"/>
        <v>3 #12 W/ #12 GND</v>
      </c>
      <c r="L48" s="3" t="s">
        <v>206</v>
      </c>
    </row>
    <row r="49" spans="1:12" ht="12.75" customHeight="1">
      <c r="A49" s="6" t="s">
        <v>195</v>
      </c>
      <c r="B49" s="11"/>
      <c r="C49" s="11">
        <v>7.5</v>
      </c>
      <c r="D49" s="11" t="s">
        <v>111</v>
      </c>
      <c r="E49" s="1" t="s">
        <v>112</v>
      </c>
      <c r="F49" s="2">
        <f t="shared" si="1"/>
        <v>11</v>
      </c>
      <c r="H49" s="2">
        <f t="shared" si="2"/>
        <v>15</v>
      </c>
      <c r="J49" s="2" t="str">
        <f t="shared" si="3"/>
        <v>3 #12 W/ #12 GND</v>
      </c>
      <c r="L49" s="3" t="s">
        <v>206</v>
      </c>
    </row>
    <row r="50" spans="1:4" ht="12.75" customHeight="1">
      <c r="A50" s="6"/>
      <c r="B50" s="11"/>
      <c r="C50" s="11"/>
      <c r="D50" s="11"/>
    </row>
    <row r="51" spans="1:4" ht="12.75" customHeight="1">
      <c r="A51" s="7" t="s">
        <v>50</v>
      </c>
      <c r="B51" s="11"/>
      <c r="C51" s="11"/>
      <c r="D51" s="11"/>
    </row>
    <row r="52" spans="1:4" ht="12.75" customHeight="1">
      <c r="A52" s="14" t="s">
        <v>200</v>
      </c>
      <c r="B52" s="11">
        <v>25</v>
      </c>
      <c r="C52" s="11"/>
      <c r="D52" s="11">
        <f>(B52*1000)/(480*1.73)</f>
        <v>30.105973025048172</v>
      </c>
    </row>
    <row r="53" spans="1:4" ht="12.75" customHeight="1">
      <c r="A53" s="14" t="s">
        <v>180</v>
      </c>
      <c r="B53" s="11">
        <v>25</v>
      </c>
      <c r="C53" s="11"/>
      <c r="D53" s="11">
        <f>(B53*1000)/(480*1.73)</f>
        <v>30.105973025048172</v>
      </c>
    </row>
    <row r="54" spans="1:4" ht="12.75" customHeight="1">
      <c r="A54" s="14" t="s">
        <v>181</v>
      </c>
      <c r="B54" s="11">
        <v>15</v>
      </c>
      <c r="C54" s="11"/>
      <c r="D54" s="11">
        <f>(B54*1000)/(480*1.73)</f>
        <v>18.063583815028903</v>
      </c>
    </row>
    <row r="55" spans="1:4" ht="12.75" customHeight="1">
      <c r="A55" s="14" t="s">
        <v>201</v>
      </c>
      <c r="B55" s="11"/>
      <c r="C55" s="11"/>
      <c r="D55" s="11">
        <v>50</v>
      </c>
    </row>
    <row r="56" spans="1:4" ht="12.75" customHeight="1">
      <c r="A56" s="14" t="s">
        <v>161</v>
      </c>
      <c r="B56" s="11"/>
      <c r="C56" s="11"/>
      <c r="D56" s="11">
        <v>9</v>
      </c>
    </row>
    <row r="57" spans="1:4" ht="12.75" customHeight="1">
      <c r="A57" s="14"/>
      <c r="B57" s="11"/>
      <c r="C57" s="11"/>
      <c r="D57" s="11">
        <f>(B57*1000)/(480*1.73)</f>
        <v>0</v>
      </c>
    </row>
    <row r="58" spans="1:4" ht="12.75" customHeight="1">
      <c r="A58" s="6"/>
      <c r="B58" s="11"/>
      <c r="C58" s="11"/>
      <c r="D58" s="11"/>
    </row>
    <row r="59" spans="1:4" ht="12.75" customHeight="1">
      <c r="A59" s="15" t="s">
        <v>7</v>
      </c>
      <c r="B59" s="16"/>
      <c r="C59" s="17"/>
      <c r="D59" s="18">
        <f>SUM(D34:D57)</f>
        <v>273.87552986512526</v>
      </c>
    </row>
    <row r="60" spans="1:4" ht="12.75" customHeight="1">
      <c r="A60" s="19" t="s">
        <v>8</v>
      </c>
      <c r="B60" s="16"/>
      <c r="C60" s="17"/>
      <c r="D60" s="18">
        <f>MAX(D34:D49)*0.25</f>
        <v>13</v>
      </c>
    </row>
    <row r="61" spans="1:4" ht="12.75" customHeight="1">
      <c r="A61" s="15" t="s">
        <v>9</v>
      </c>
      <c r="B61" s="16"/>
      <c r="C61" s="17"/>
      <c r="D61" s="18">
        <f>SUM(D59:D60)</f>
        <v>286.87552986512526</v>
      </c>
    </row>
    <row r="62" spans="1:4" ht="12.75" customHeight="1">
      <c r="A62" s="20" t="s">
        <v>48</v>
      </c>
      <c r="B62" s="21"/>
      <c r="C62" s="21"/>
      <c r="D62" s="22">
        <v>300</v>
      </c>
    </row>
    <row r="67" spans="2:22" ht="12.75" customHeight="1">
      <c r="B67" s="174" t="s">
        <v>11</v>
      </c>
      <c r="C67" s="175"/>
      <c r="D67" s="175"/>
      <c r="E67" s="175"/>
      <c r="F67" s="176"/>
      <c r="G67" s="49"/>
      <c r="H67" s="40"/>
      <c r="I67" s="28"/>
      <c r="K67" s="174" t="s">
        <v>83</v>
      </c>
      <c r="L67" s="176"/>
      <c r="N67" s="56" t="s">
        <v>96</v>
      </c>
      <c r="O67" s="57" t="s">
        <v>97</v>
      </c>
      <c r="P67" s="57" t="s">
        <v>98</v>
      </c>
      <c r="Q67" s="166"/>
      <c r="R67" s="58" t="s">
        <v>99</v>
      </c>
      <c r="S67" s="55" t="s">
        <v>100</v>
      </c>
      <c r="T67" s="55" t="s">
        <v>101</v>
      </c>
      <c r="U67" s="55" t="s">
        <v>102</v>
      </c>
      <c r="V67" s="54" t="s">
        <v>103</v>
      </c>
    </row>
    <row r="68" spans="2:22" ht="12.75" customHeight="1">
      <c r="B68" s="7" t="s">
        <v>12</v>
      </c>
      <c r="C68" s="7" t="s">
        <v>13</v>
      </c>
      <c r="D68" s="7" t="s">
        <v>58</v>
      </c>
      <c r="E68" s="7" t="s">
        <v>59</v>
      </c>
      <c r="F68" s="7" t="s">
        <v>66</v>
      </c>
      <c r="H68" s="51"/>
      <c r="I68" s="5"/>
      <c r="K68" s="7" t="s">
        <v>82</v>
      </c>
      <c r="L68" s="41" t="s">
        <v>66</v>
      </c>
      <c r="N68" s="160" t="s">
        <v>104</v>
      </c>
      <c r="O68" s="162" t="s">
        <v>108</v>
      </c>
      <c r="P68" s="169" t="s">
        <v>107</v>
      </c>
      <c r="Q68" s="167"/>
      <c r="R68" s="158"/>
      <c r="S68" s="158"/>
      <c r="T68" s="158"/>
      <c r="U68" s="158"/>
      <c r="V68" s="158">
        <f>IF(ISERROR(IF(U68=1,(R68*1000)/(S68*T68),(R68*1000)/(S68*T68*SQRT(3)))),"",IF(U68=1,(R68*1000)/(S68*T68),(R68*1000)/(S68*T68*SQRT(3))))</f>
      </c>
    </row>
    <row r="69" spans="2:22" ht="12.75" customHeight="1">
      <c r="B69" s="6">
        <v>0</v>
      </c>
      <c r="C69" s="6">
        <v>0</v>
      </c>
      <c r="D69" s="6">
        <v>0</v>
      </c>
      <c r="E69" s="6">
        <v>0</v>
      </c>
      <c r="F69" s="6" t="s">
        <v>64</v>
      </c>
      <c r="H69" s="40"/>
      <c r="I69" s="5"/>
      <c r="K69" s="25">
        <v>25</v>
      </c>
      <c r="L69" s="6" t="s">
        <v>64</v>
      </c>
      <c r="N69" s="161"/>
      <c r="O69" s="163"/>
      <c r="P69" s="170"/>
      <c r="Q69" s="167"/>
      <c r="R69" s="159"/>
      <c r="S69" s="159"/>
      <c r="T69" s="159"/>
      <c r="U69" s="159"/>
      <c r="V69" s="159"/>
    </row>
    <row r="70" spans="2:22" ht="12.75" customHeight="1">
      <c r="B70" s="6">
        <v>0.5</v>
      </c>
      <c r="C70" s="6">
        <v>1.1</v>
      </c>
      <c r="D70" s="6">
        <v>3</v>
      </c>
      <c r="E70" s="6">
        <v>15</v>
      </c>
      <c r="F70" s="6" t="s">
        <v>64</v>
      </c>
      <c r="H70" s="40"/>
      <c r="I70" s="5"/>
      <c r="K70" s="25">
        <v>30</v>
      </c>
      <c r="L70" s="6" t="s">
        <v>65</v>
      </c>
      <c r="N70" s="160" t="s">
        <v>105</v>
      </c>
      <c r="O70" s="162" t="s">
        <v>110</v>
      </c>
      <c r="P70" s="162" t="s">
        <v>109</v>
      </c>
      <c r="Q70" s="167"/>
      <c r="R70" s="158"/>
      <c r="S70" s="158"/>
      <c r="T70" s="164" t="s">
        <v>106</v>
      </c>
      <c r="U70" s="158"/>
      <c r="V70" s="158">
        <f>IF(ISERROR(IF(U70=1,(R70*1000)/(S70),(R70*1000)/(S70*SQRT(3)))),"",IF(U70=1,(R70*1000)/(S70),(R70*1000)/(S70*SQRT(3))))</f>
      </c>
    </row>
    <row r="71" spans="2:22" ht="12.75" customHeight="1">
      <c r="B71" s="6">
        <v>0.75</v>
      </c>
      <c r="C71" s="6">
        <v>1.6</v>
      </c>
      <c r="D71" s="6">
        <v>3</v>
      </c>
      <c r="E71" s="6">
        <v>15</v>
      </c>
      <c r="F71" s="6" t="s">
        <v>64</v>
      </c>
      <c r="H71" s="40"/>
      <c r="I71" s="5"/>
      <c r="K71" s="25">
        <v>40</v>
      </c>
      <c r="L71" s="6" t="s">
        <v>67</v>
      </c>
      <c r="N71" s="161"/>
      <c r="O71" s="163"/>
      <c r="P71" s="163"/>
      <c r="Q71" s="168"/>
      <c r="R71" s="159"/>
      <c r="S71" s="159"/>
      <c r="T71" s="165"/>
      <c r="U71" s="159"/>
      <c r="V71" s="159"/>
    </row>
    <row r="72" spans="2:12" ht="12.75" customHeight="1">
      <c r="B72" s="6">
        <v>1</v>
      </c>
      <c r="C72" s="6">
        <v>2.1</v>
      </c>
      <c r="D72" s="6">
        <v>3</v>
      </c>
      <c r="E72" s="6">
        <v>15</v>
      </c>
      <c r="F72" s="6" t="s">
        <v>64</v>
      </c>
      <c r="H72" s="40"/>
      <c r="I72" s="5"/>
      <c r="K72" s="25">
        <v>55</v>
      </c>
      <c r="L72" s="6" t="s">
        <v>85</v>
      </c>
    </row>
    <row r="73" spans="2:12" ht="12.75" customHeight="1">
      <c r="B73" s="6">
        <v>1.5</v>
      </c>
      <c r="C73" s="6">
        <v>3</v>
      </c>
      <c r="D73" s="6">
        <v>7</v>
      </c>
      <c r="E73" s="6">
        <v>15</v>
      </c>
      <c r="F73" s="6" t="s">
        <v>64</v>
      </c>
      <c r="H73" s="40"/>
      <c r="I73" s="5"/>
      <c r="K73" s="25">
        <v>70</v>
      </c>
      <c r="L73" s="6" t="s">
        <v>69</v>
      </c>
    </row>
    <row r="74" spans="2:12" ht="12.75" customHeight="1">
      <c r="B74" s="6">
        <v>2</v>
      </c>
      <c r="C74" s="6">
        <v>3.4</v>
      </c>
      <c r="D74" s="6">
        <v>7</v>
      </c>
      <c r="E74" s="6">
        <v>15</v>
      </c>
      <c r="F74" s="6" t="s">
        <v>64</v>
      </c>
      <c r="H74" s="40"/>
      <c r="I74" s="5"/>
      <c r="K74" s="25">
        <v>100</v>
      </c>
      <c r="L74" s="6" t="s">
        <v>70</v>
      </c>
    </row>
    <row r="75" spans="2:12" ht="12.75" customHeight="1">
      <c r="B75" s="6">
        <v>3</v>
      </c>
      <c r="C75" s="6">
        <v>4.8</v>
      </c>
      <c r="D75" s="6">
        <v>10</v>
      </c>
      <c r="E75" s="6">
        <v>15</v>
      </c>
      <c r="F75" s="6" t="s">
        <v>64</v>
      </c>
      <c r="H75" s="40"/>
      <c r="I75" s="5"/>
      <c r="K75" s="25">
        <v>115</v>
      </c>
      <c r="L75" s="6" t="s">
        <v>84</v>
      </c>
    </row>
    <row r="76" spans="2:12" ht="12.75" customHeight="1">
      <c r="B76" s="6">
        <v>5</v>
      </c>
      <c r="C76" s="6">
        <v>7.6</v>
      </c>
      <c r="D76" s="6">
        <v>15</v>
      </c>
      <c r="E76" s="6">
        <v>15</v>
      </c>
      <c r="F76" s="6" t="s">
        <v>64</v>
      </c>
      <c r="H76" s="40"/>
      <c r="I76" s="5"/>
      <c r="K76" s="25">
        <v>130</v>
      </c>
      <c r="L76" s="6" t="s">
        <v>71</v>
      </c>
    </row>
    <row r="77" spans="2:12" ht="12.75" customHeight="1">
      <c r="B77" s="6">
        <v>7.5</v>
      </c>
      <c r="C77" s="6">
        <v>11</v>
      </c>
      <c r="D77" s="6">
        <v>20</v>
      </c>
      <c r="E77" s="6">
        <v>15</v>
      </c>
      <c r="F77" s="6" t="s">
        <v>64</v>
      </c>
      <c r="H77" s="40"/>
      <c r="I77" s="5"/>
      <c r="K77" s="25">
        <v>150</v>
      </c>
      <c r="L77" s="6" t="s">
        <v>86</v>
      </c>
    </row>
    <row r="78" spans="2:12" ht="12.75" customHeight="1">
      <c r="B78" s="6">
        <v>10</v>
      </c>
      <c r="C78" s="6">
        <v>14</v>
      </c>
      <c r="D78" s="6">
        <v>30</v>
      </c>
      <c r="E78" s="6">
        <v>20</v>
      </c>
      <c r="F78" s="6" t="s">
        <v>64</v>
      </c>
      <c r="H78" s="40"/>
      <c r="I78" s="5"/>
      <c r="K78" s="25">
        <v>175</v>
      </c>
      <c r="L78" s="6" t="s">
        <v>72</v>
      </c>
    </row>
    <row r="79" spans="2:12" ht="12.75" customHeight="1">
      <c r="B79" s="6">
        <v>15</v>
      </c>
      <c r="C79" s="6">
        <v>21</v>
      </c>
      <c r="D79" s="6">
        <v>40</v>
      </c>
      <c r="E79" s="6">
        <v>30</v>
      </c>
      <c r="F79" s="6" t="s">
        <v>65</v>
      </c>
      <c r="H79" s="40"/>
      <c r="I79" s="5"/>
      <c r="K79" s="25">
        <v>200</v>
      </c>
      <c r="L79" s="6" t="s">
        <v>73</v>
      </c>
    </row>
    <row r="80" spans="2:12" ht="12.75" customHeight="1">
      <c r="B80" s="6">
        <v>20</v>
      </c>
      <c r="C80" s="6">
        <v>27</v>
      </c>
      <c r="D80" s="6">
        <v>50</v>
      </c>
      <c r="E80" s="6">
        <v>40</v>
      </c>
      <c r="F80" s="6" t="s">
        <v>65</v>
      </c>
      <c r="H80" s="40"/>
      <c r="I80" s="5"/>
      <c r="K80" s="25">
        <v>230</v>
      </c>
      <c r="L80" s="6" t="s">
        <v>74</v>
      </c>
    </row>
    <row r="81" spans="2:12" ht="12.75" customHeight="1">
      <c r="B81" s="6">
        <v>25</v>
      </c>
      <c r="C81" s="6">
        <v>34</v>
      </c>
      <c r="D81" s="6">
        <v>50</v>
      </c>
      <c r="E81" s="6">
        <v>50</v>
      </c>
      <c r="F81" s="6" t="s">
        <v>67</v>
      </c>
      <c r="H81" s="40"/>
      <c r="I81" s="5"/>
      <c r="K81" s="25">
        <v>255</v>
      </c>
      <c r="L81" s="6" t="s">
        <v>87</v>
      </c>
    </row>
    <row r="82" spans="2:12" ht="12.75" customHeight="1">
      <c r="B82" s="6">
        <v>30</v>
      </c>
      <c r="C82" s="6">
        <v>40</v>
      </c>
      <c r="D82" s="6">
        <v>70</v>
      </c>
      <c r="E82" s="6">
        <v>60</v>
      </c>
      <c r="F82" s="6" t="s">
        <v>67</v>
      </c>
      <c r="H82" s="40"/>
      <c r="I82" s="5"/>
      <c r="K82" s="25">
        <v>285</v>
      </c>
      <c r="L82" s="6" t="s">
        <v>87</v>
      </c>
    </row>
    <row r="83" spans="2:12" ht="12.75" customHeight="1">
      <c r="B83" s="6">
        <v>40</v>
      </c>
      <c r="C83" s="6">
        <v>52</v>
      </c>
      <c r="D83" s="6">
        <v>100</v>
      </c>
      <c r="E83" s="6">
        <v>80</v>
      </c>
      <c r="F83" s="6" t="s">
        <v>68</v>
      </c>
      <c r="H83" s="40"/>
      <c r="I83" s="5"/>
      <c r="K83" s="25">
        <v>310</v>
      </c>
      <c r="L83" s="6" t="s">
        <v>75</v>
      </c>
    </row>
    <row r="84" spans="2:12" ht="12.75" customHeight="1">
      <c r="B84" s="6">
        <v>50</v>
      </c>
      <c r="C84" s="6">
        <v>65</v>
      </c>
      <c r="D84" s="6">
        <v>150</v>
      </c>
      <c r="E84" s="6">
        <v>100</v>
      </c>
      <c r="F84" s="6" t="s">
        <v>69</v>
      </c>
      <c r="H84" s="40"/>
      <c r="I84" s="5"/>
      <c r="K84" s="25">
        <v>335</v>
      </c>
      <c r="L84" s="6" t="s">
        <v>88</v>
      </c>
    </row>
    <row r="85" spans="2:12" ht="12.75" customHeight="1">
      <c r="B85" s="6">
        <v>60</v>
      </c>
      <c r="C85" s="6">
        <v>77</v>
      </c>
      <c r="D85" s="6">
        <v>200</v>
      </c>
      <c r="E85" s="6">
        <v>125</v>
      </c>
      <c r="F85" s="6" t="s">
        <v>70</v>
      </c>
      <c r="H85" s="50"/>
      <c r="K85" s="25">
        <v>380</v>
      </c>
      <c r="L85" s="6" t="s">
        <v>76</v>
      </c>
    </row>
    <row r="86" spans="2:12" ht="12.75" customHeight="1">
      <c r="B86" s="6">
        <v>75</v>
      </c>
      <c r="C86" s="6">
        <v>96</v>
      </c>
      <c r="D86" s="6">
        <v>200</v>
      </c>
      <c r="E86" s="6">
        <v>150</v>
      </c>
      <c r="F86" s="6" t="s">
        <v>71</v>
      </c>
      <c r="K86" s="6">
        <v>400</v>
      </c>
      <c r="L86" s="6" t="s">
        <v>89</v>
      </c>
    </row>
    <row r="87" spans="2:12" ht="12.75" customHeight="1">
      <c r="B87" s="6">
        <v>100</v>
      </c>
      <c r="C87" s="6">
        <v>124</v>
      </c>
      <c r="D87" s="6">
        <v>200</v>
      </c>
      <c r="E87" s="6">
        <v>200</v>
      </c>
      <c r="F87" s="6" t="s">
        <v>72</v>
      </c>
      <c r="K87" s="6">
        <v>500</v>
      </c>
      <c r="L87" s="6" t="s">
        <v>89</v>
      </c>
    </row>
    <row r="88" spans="2:12" ht="12.75" customHeight="1">
      <c r="B88" s="6">
        <v>125</v>
      </c>
      <c r="C88" s="6">
        <v>156</v>
      </c>
      <c r="D88" s="6">
        <v>250</v>
      </c>
      <c r="E88" s="6">
        <v>250</v>
      </c>
      <c r="F88" s="6" t="s">
        <v>73</v>
      </c>
      <c r="K88" s="6">
        <v>600</v>
      </c>
      <c r="L88" s="6" t="s">
        <v>90</v>
      </c>
    </row>
    <row r="89" spans="2:12" ht="12.75" customHeight="1">
      <c r="B89" s="6">
        <v>150</v>
      </c>
      <c r="C89" s="6">
        <v>180</v>
      </c>
      <c r="D89" s="6">
        <v>300</v>
      </c>
      <c r="E89" s="6">
        <v>300</v>
      </c>
      <c r="F89" s="6" t="s">
        <v>74</v>
      </c>
      <c r="K89" s="6">
        <v>800</v>
      </c>
      <c r="L89" s="6" t="s">
        <v>91</v>
      </c>
    </row>
    <row r="90" spans="2:12" ht="12.75" customHeight="1">
      <c r="B90" s="6">
        <v>200</v>
      </c>
      <c r="C90" s="6">
        <v>240</v>
      </c>
      <c r="D90" s="6">
        <v>400</v>
      </c>
      <c r="E90" s="6">
        <v>400</v>
      </c>
      <c r="F90" s="6" t="s">
        <v>75</v>
      </c>
      <c r="K90" s="6">
        <v>1000</v>
      </c>
      <c r="L90" s="6" t="s">
        <v>92</v>
      </c>
    </row>
    <row r="91" spans="2:12" ht="12.75" customHeight="1">
      <c r="B91" s="6">
        <v>250</v>
      </c>
      <c r="C91" s="6">
        <v>302</v>
      </c>
      <c r="D91" s="6">
        <v>500</v>
      </c>
      <c r="E91" s="6">
        <v>500</v>
      </c>
      <c r="F91" s="6" t="s">
        <v>76</v>
      </c>
      <c r="K91" s="6">
        <v>1200</v>
      </c>
      <c r="L91" s="6" t="s">
        <v>93</v>
      </c>
    </row>
    <row r="92" spans="2:12" ht="12.75" customHeight="1">
      <c r="B92" s="6">
        <v>300</v>
      </c>
      <c r="C92" s="6">
        <v>361</v>
      </c>
      <c r="D92" s="6">
        <v>600</v>
      </c>
      <c r="E92" s="6">
        <v>600</v>
      </c>
      <c r="F92" s="6" t="s">
        <v>77</v>
      </c>
      <c r="K92" s="6">
        <v>1600</v>
      </c>
      <c r="L92" s="6" t="s">
        <v>94</v>
      </c>
    </row>
    <row r="93" spans="2:6" ht="12.75" customHeight="1">
      <c r="B93" s="6">
        <v>350</v>
      </c>
      <c r="C93" s="6">
        <v>414</v>
      </c>
      <c r="D93" s="6">
        <v>700</v>
      </c>
      <c r="E93" s="6">
        <v>700</v>
      </c>
      <c r="F93" s="6" t="s">
        <v>78</v>
      </c>
    </row>
    <row r="94" spans="2:6" ht="12.75" customHeight="1">
      <c r="B94" s="6">
        <v>400</v>
      </c>
      <c r="C94" s="6">
        <v>477</v>
      </c>
      <c r="D94" s="6">
        <v>800</v>
      </c>
      <c r="E94" s="6">
        <v>800</v>
      </c>
      <c r="F94" s="6" t="s">
        <v>79</v>
      </c>
    </row>
    <row r="95" spans="2:6" ht="12.75" customHeight="1">
      <c r="B95" s="6">
        <v>450</v>
      </c>
      <c r="C95" s="6">
        <v>515</v>
      </c>
      <c r="D95" s="6">
        <v>900</v>
      </c>
      <c r="E95" s="6">
        <v>900</v>
      </c>
      <c r="F95" s="6" t="s">
        <v>80</v>
      </c>
    </row>
    <row r="96" spans="2:6" ht="12.75" customHeight="1">
      <c r="B96" s="6">
        <v>500</v>
      </c>
      <c r="C96" s="6">
        <v>590</v>
      </c>
      <c r="D96" s="6">
        <v>1000</v>
      </c>
      <c r="E96" s="6">
        <v>1000</v>
      </c>
      <c r="F96" s="6" t="s">
        <v>81</v>
      </c>
    </row>
  </sheetData>
  <sheetProtection/>
  <mergeCells count="23">
    <mergeCell ref="B3:E3"/>
    <mergeCell ref="B4:E4"/>
    <mergeCell ref="A8:E8"/>
    <mergeCell ref="A29:D29"/>
    <mergeCell ref="B67:F67"/>
    <mergeCell ref="K67:L67"/>
    <mergeCell ref="U70:U71"/>
    <mergeCell ref="Q67:Q71"/>
    <mergeCell ref="N68:N69"/>
    <mergeCell ref="O68:O69"/>
    <mergeCell ref="P68:P69"/>
    <mergeCell ref="R68:R69"/>
    <mergeCell ref="S68:S69"/>
    <mergeCell ref="V70:V71"/>
    <mergeCell ref="T68:T69"/>
    <mergeCell ref="U68:U69"/>
    <mergeCell ref="V68:V69"/>
    <mergeCell ref="N70:N71"/>
    <mergeCell ref="O70:O71"/>
    <mergeCell ref="P70:P71"/>
    <mergeCell ref="R70:R71"/>
    <mergeCell ref="S70:S71"/>
    <mergeCell ref="T70:T71"/>
  </mergeCell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99"/>
  <sheetViews>
    <sheetView zoomScalePageLayoutView="0" workbookViewId="0" topLeftCell="A28">
      <selection activeCell="D65" sqref="A31:D65"/>
    </sheetView>
  </sheetViews>
  <sheetFormatPr defaultColWidth="9.7109375" defaultRowHeight="12.75" customHeight="1"/>
  <cols>
    <col min="1" max="1" width="45.140625" style="2" bestFit="1" customWidth="1"/>
    <col min="2" max="2" width="12.00390625" style="2" bestFit="1" customWidth="1"/>
    <col min="3" max="4" width="8.7109375" style="2" customWidth="1"/>
    <col min="5" max="5" width="12.7109375" style="2" bestFit="1" customWidth="1"/>
    <col min="6" max="6" width="26.00390625" style="2" bestFit="1" customWidth="1"/>
    <col min="7" max="7" width="10.7109375" style="2" customWidth="1"/>
    <col min="8" max="8" width="17.00390625" style="2" bestFit="1" customWidth="1"/>
    <col min="9" max="9" width="10.7109375" style="2" customWidth="1"/>
    <col min="10" max="10" width="16.8515625" style="2" bestFit="1" customWidth="1"/>
    <col min="11" max="11" width="9.7109375" style="2" customWidth="1"/>
    <col min="12" max="12" width="26.00390625" style="2" bestFit="1" customWidth="1"/>
    <col min="13" max="14" width="25.8515625" style="2" bestFit="1" customWidth="1"/>
    <col min="15" max="16" width="9.7109375" style="2" customWidth="1"/>
    <col min="17" max="17" width="3.28125" style="2" customWidth="1"/>
    <col min="18" max="19" width="9.7109375" style="2" customWidth="1"/>
    <col min="20" max="21" width="14.00390625" style="2" bestFit="1" customWidth="1"/>
    <col min="22" max="16384" width="9.7109375" style="2" customWidth="1"/>
  </cols>
  <sheetData>
    <row r="3" spans="1:5" ht="12.75" customHeight="1">
      <c r="A3" s="3" t="s">
        <v>0</v>
      </c>
      <c r="B3" s="171" t="str">
        <f ca="1">MID(CELL("filename"),SEARCH("[",CELL("filename"))+1,SEARCH("]",CELL("filename"))-SEARCH("[",CELL("filename"))-1)</f>
        <v>01 Las Gallinas Electrical Calculations.xls</v>
      </c>
      <c r="C3" s="171"/>
      <c r="D3" s="171"/>
      <c r="E3" s="171"/>
    </row>
    <row r="4" spans="1:5" ht="12.75" customHeight="1">
      <c r="A4" s="3" t="s">
        <v>1</v>
      </c>
      <c r="B4" s="172"/>
      <c r="C4" s="172"/>
      <c r="D4" s="172"/>
      <c r="E4" s="172"/>
    </row>
    <row r="5" ht="12.75" customHeight="1">
      <c r="A5" s="3" t="s">
        <v>2</v>
      </c>
    </row>
    <row r="8" spans="1:5" ht="12.75" customHeight="1">
      <c r="A8" s="173" t="s">
        <v>42</v>
      </c>
      <c r="B8" s="173"/>
      <c r="C8" s="173"/>
      <c r="D8" s="173"/>
      <c r="E8" s="173"/>
    </row>
    <row r="9" spans="1:6" ht="12.75" customHeight="1">
      <c r="A9" s="5"/>
      <c r="B9" s="5"/>
      <c r="C9" s="5"/>
      <c r="D9" s="5"/>
      <c r="E9" s="5"/>
      <c r="F9" s="5"/>
    </row>
    <row r="10" spans="1:5" ht="12.75" customHeight="1">
      <c r="A10" s="6" t="s">
        <v>3</v>
      </c>
      <c r="B10" s="7" t="s">
        <v>43</v>
      </c>
      <c r="C10" s="7" t="s">
        <v>4</v>
      </c>
      <c r="D10" s="7" t="s">
        <v>5</v>
      </c>
      <c r="E10" s="7" t="s">
        <v>6</v>
      </c>
    </row>
    <row r="11" spans="1:5" ht="12.75" customHeight="1">
      <c r="A11" s="7" t="s">
        <v>44</v>
      </c>
      <c r="B11" s="8"/>
      <c r="C11" s="9"/>
      <c r="D11" s="9"/>
      <c r="E11" s="9"/>
    </row>
    <row r="12" spans="1:5" ht="12.75" customHeight="1">
      <c r="A12" s="6" t="s">
        <v>45</v>
      </c>
      <c r="B12" s="10"/>
      <c r="C12" s="11">
        <f>B12*1.25/0.8</f>
        <v>0</v>
      </c>
      <c r="D12" s="11"/>
      <c r="E12" s="11">
        <f>C12*1000/(1.73*480)</f>
        <v>0</v>
      </c>
    </row>
    <row r="13" spans="1:5" ht="12.75" customHeight="1">
      <c r="A13" s="12"/>
      <c r="B13" s="13"/>
      <c r="C13" s="11"/>
      <c r="D13" s="11"/>
      <c r="E13" s="11"/>
    </row>
    <row r="14" spans="1:5" ht="13.5" customHeight="1">
      <c r="A14" s="7" t="s">
        <v>47</v>
      </c>
      <c r="B14" s="13"/>
      <c r="C14" s="11"/>
      <c r="D14" s="11"/>
      <c r="E14" s="11"/>
    </row>
    <row r="15" spans="1:6" ht="12.75" customHeight="1">
      <c r="A15" s="12"/>
      <c r="B15" s="13"/>
      <c r="C15" s="11"/>
      <c r="D15" s="11"/>
      <c r="E15" s="11">
        <f>F15</f>
        <v>0</v>
      </c>
      <c r="F15" s="2">
        <f>VLOOKUP(D15,FLA_Table,2,TRUE)</f>
        <v>0</v>
      </c>
    </row>
    <row r="16" spans="1:6" ht="12.75" customHeight="1">
      <c r="A16" s="12"/>
      <c r="B16" s="13"/>
      <c r="C16" s="11"/>
      <c r="D16" s="11"/>
      <c r="E16" s="11">
        <f>F16</f>
        <v>0</v>
      </c>
      <c r="F16" s="2">
        <f>VLOOKUP(D16,FLA_Table,2,TRUE)</f>
        <v>0</v>
      </c>
    </row>
    <row r="17" spans="1:6" ht="12.75" customHeight="1">
      <c r="A17" s="12"/>
      <c r="B17" s="13"/>
      <c r="C17" s="11"/>
      <c r="D17" s="11"/>
      <c r="E17" s="11">
        <f>F17</f>
        <v>0</v>
      </c>
      <c r="F17" s="2">
        <f>VLOOKUP(D17,FLA_Table,2,TRUE)</f>
        <v>0</v>
      </c>
    </row>
    <row r="18" spans="1:6" ht="12.75" customHeight="1">
      <c r="A18" s="12"/>
      <c r="B18" s="13"/>
      <c r="C18" s="11"/>
      <c r="D18" s="11"/>
      <c r="E18" s="11">
        <f>F18</f>
        <v>0</v>
      </c>
      <c r="F18" s="2">
        <f>VLOOKUP(D18,FLA_Table,2,TRUE)</f>
        <v>0</v>
      </c>
    </row>
    <row r="19" spans="1:6" ht="12.75" customHeight="1">
      <c r="A19" s="6"/>
      <c r="B19" s="10"/>
      <c r="C19" s="11"/>
      <c r="D19" s="11"/>
      <c r="E19" s="11">
        <f>F19</f>
        <v>0</v>
      </c>
      <c r="F19" s="2">
        <f>VLOOKUP(D19:D31,FLA_Table,2,TRUE)</f>
        <v>0</v>
      </c>
    </row>
    <row r="20" spans="1:5" ht="12.75" customHeight="1">
      <c r="A20" s="6"/>
      <c r="B20" s="10"/>
      <c r="C20" s="11"/>
      <c r="D20" s="11"/>
      <c r="E20" s="11"/>
    </row>
    <row r="21" spans="1:5" ht="12.75" customHeight="1">
      <c r="A21" s="7" t="s">
        <v>51</v>
      </c>
      <c r="B21" s="13"/>
      <c r="C21" s="11"/>
      <c r="D21" s="11"/>
      <c r="E21" s="11"/>
    </row>
    <row r="22" spans="1:5" ht="12.75" customHeight="1">
      <c r="A22" s="14"/>
      <c r="B22" s="10"/>
      <c r="C22" s="11"/>
      <c r="D22" s="11"/>
      <c r="E22" s="11">
        <f>(C22*1000)/(1.73*480)</f>
        <v>0</v>
      </c>
    </row>
    <row r="23" spans="1:5" ht="12.75" customHeight="1">
      <c r="A23" s="6"/>
      <c r="B23" s="10"/>
      <c r="C23" s="11"/>
      <c r="D23" s="11"/>
      <c r="E23" s="11"/>
    </row>
    <row r="24" spans="1:5" ht="12.75" customHeight="1">
      <c r="A24" s="15" t="s">
        <v>7</v>
      </c>
      <c r="B24" s="16"/>
      <c r="C24" s="17"/>
      <c r="D24" s="17"/>
      <c r="E24" s="18">
        <f>SUM(E15:E22)</f>
        <v>0</v>
      </c>
    </row>
    <row r="25" spans="1:5" ht="12.75" customHeight="1">
      <c r="A25" s="19" t="s">
        <v>8</v>
      </c>
      <c r="B25" s="16"/>
      <c r="C25" s="17"/>
      <c r="D25" s="17"/>
      <c r="E25" s="18">
        <f>MAX(E15:E19)*0.25</f>
        <v>0</v>
      </c>
    </row>
    <row r="26" spans="1:5" ht="12.75" customHeight="1">
      <c r="A26" s="15" t="s">
        <v>9</v>
      </c>
      <c r="B26" s="16"/>
      <c r="C26" s="17"/>
      <c r="D26" s="17"/>
      <c r="E26" s="18">
        <f>SUM(E24:E25)</f>
        <v>0</v>
      </c>
    </row>
    <row r="27" spans="1:5" ht="12.75" customHeight="1">
      <c r="A27" s="20" t="s">
        <v>46</v>
      </c>
      <c r="B27" s="21"/>
      <c r="C27" s="21"/>
      <c r="D27" s="21"/>
      <c r="E27" s="22"/>
    </row>
    <row r="29" spans="1:4" ht="12.75" customHeight="1">
      <c r="A29" s="173" t="s">
        <v>10</v>
      </c>
      <c r="B29" s="173"/>
      <c r="C29" s="173"/>
      <c r="D29" s="173"/>
    </row>
    <row r="30" spans="3:6" ht="12.75" customHeight="1">
      <c r="C30" s="5"/>
      <c r="D30" s="5"/>
      <c r="E30" s="5"/>
      <c r="F30" s="5"/>
    </row>
    <row r="31" spans="1:10" ht="12.75" customHeight="1">
      <c r="A31" s="6" t="s">
        <v>49</v>
      </c>
      <c r="B31" s="7" t="s">
        <v>4</v>
      </c>
      <c r="C31" s="7" t="s">
        <v>5</v>
      </c>
      <c r="D31" s="7" t="s">
        <v>6</v>
      </c>
      <c r="E31" s="52" t="s">
        <v>61</v>
      </c>
      <c r="F31" s="52" t="s">
        <v>6</v>
      </c>
      <c r="G31" s="53"/>
      <c r="H31" s="52" t="s">
        <v>62</v>
      </c>
      <c r="I31" s="53"/>
      <c r="J31" s="52" t="s">
        <v>63</v>
      </c>
    </row>
    <row r="32" spans="1:5" ht="12.75" customHeight="1">
      <c r="A32" s="12"/>
      <c r="B32" s="11"/>
      <c r="C32" s="11"/>
      <c r="D32" s="11"/>
      <c r="E32" s="1"/>
    </row>
    <row r="33" spans="1:5" ht="12.75" customHeight="1">
      <c r="A33" s="7" t="s">
        <v>95</v>
      </c>
      <c r="B33" s="11"/>
      <c r="C33" s="11"/>
      <c r="D33" s="11"/>
      <c r="E33" s="1"/>
    </row>
    <row r="34" spans="1:10" ht="12.75" customHeight="1">
      <c r="A34" s="6" t="s">
        <v>162</v>
      </c>
      <c r="B34" s="11"/>
      <c r="C34" s="11">
        <v>5</v>
      </c>
      <c r="D34" s="11">
        <f aca="true" t="shared" si="0" ref="D34:D47">F34</f>
        <v>7.6</v>
      </c>
      <c r="E34" s="1" t="s">
        <v>60</v>
      </c>
      <c r="F34" s="2">
        <f aca="true" t="shared" si="1" ref="F34:F47">(((INDEX($C$72:$C$99,MATCH(C34,$B$72:$B$99,1)+1))-(VLOOKUP(C34,FLA_Table,2,TRUE)))/((INDEX($B$72:$B$99,MATCH(C34,$B$72:$B$99,1)+1))-(VLOOKUP(C34,FLA_Table,1,TRUE))))*(C34-VLOOKUP(C34,FLA_Table,1,TRUE))+VLOOKUP(C34,FLA_Table,2,TRUE)</f>
        <v>7.6</v>
      </c>
      <c r="H34" s="2">
        <f aca="true" t="shared" si="2" ref="H34:H47">IF(C34=VLOOKUP(C34,FLA_Table,1,TRUE),IF(OR(E34="y",E34="yes"),VLOOKUP(C34,FLA_Table,4,TRUE),VLOOKUP(C34,FLA_Table,3,TRUE)),IF(OR(E34="y",E34="yes"),INDEX($E$72:$E$99,MATCH(C34,$B$72:$B$99,1)+1),INDEX($D$72:$D$99,MATCH(C34,$B$72:$B$99,1)+1)))</f>
        <v>15</v>
      </c>
      <c r="J34" s="2" t="str">
        <f aca="true" t="shared" si="3" ref="J34:J47">VLOOKUP(C34,FLA_Table,5,TRUE)</f>
        <v>3 #12 W/ #12 GND</v>
      </c>
    </row>
    <row r="35" spans="1:10" ht="12.75" customHeight="1">
      <c r="A35" s="6" t="s">
        <v>163</v>
      </c>
      <c r="B35" s="11"/>
      <c r="C35" s="11">
        <v>15</v>
      </c>
      <c r="D35" s="11">
        <f t="shared" si="0"/>
        <v>21</v>
      </c>
      <c r="E35" s="1" t="s">
        <v>60</v>
      </c>
      <c r="F35" s="2">
        <f t="shared" si="1"/>
        <v>21</v>
      </c>
      <c r="H35" s="2">
        <f t="shared" si="2"/>
        <v>40</v>
      </c>
      <c r="J35" s="2" t="str">
        <f t="shared" si="3"/>
        <v>3 #10 W/ #10 GND</v>
      </c>
    </row>
    <row r="36" spans="1:10" ht="12.75" customHeight="1">
      <c r="A36" s="6" t="s">
        <v>164</v>
      </c>
      <c r="B36" s="11"/>
      <c r="C36" s="11">
        <v>0.5</v>
      </c>
      <c r="D36" s="11">
        <f t="shared" si="0"/>
        <v>1.1</v>
      </c>
      <c r="E36" s="1" t="s">
        <v>60</v>
      </c>
      <c r="F36" s="2">
        <f t="shared" si="1"/>
        <v>1.1</v>
      </c>
      <c r="H36" s="2">
        <f t="shared" si="2"/>
        <v>3</v>
      </c>
      <c r="J36" s="2" t="str">
        <f t="shared" si="3"/>
        <v>3 #12 W/ #12 GND</v>
      </c>
    </row>
    <row r="37" spans="1:10" ht="12.75" customHeight="1">
      <c r="A37" s="6" t="s">
        <v>165</v>
      </c>
      <c r="B37" s="11"/>
      <c r="C37" s="11">
        <v>0.5</v>
      </c>
      <c r="D37" s="11">
        <f t="shared" si="0"/>
        <v>1.1</v>
      </c>
      <c r="E37" s="1" t="s">
        <v>60</v>
      </c>
      <c r="F37" s="2">
        <f t="shared" si="1"/>
        <v>1.1</v>
      </c>
      <c r="H37" s="2">
        <f t="shared" si="2"/>
        <v>3</v>
      </c>
      <c r="J37" s="2" t="str">
        <f t="shared" si="3"/>
        <v>3 #12 W/ #12 GND</v>
      </c>
    </row>
    <row r="38" spans="1:10" ht="12.75" customHeight="1">
      <c r="A38" s="6" t="s">
        <v>166</v>
      </c>
      <c r="B38" s="11"/>
      <c r="C38" s="11">
        <v>15</v>
      </c>
      <c r="D38" s="11">
        <f t="shared" si="0"/>
        <v>21</v>
      </c>
      <c r="E38" s="1" t="s">
        <v>60</v>
      </c>
      <c r="F38" s="2">
        <f t="shared" si="1"/>
        <v>21</v>
      </c>
      <c r="H38" s="2">
        <f t="shared" si="2"/>
        <v>40</v>
      </c>
      <c r="J38" s="2" t="str">
        <f t="shared" si="3"/>
        <v>3 #10 W/ #10 GND</v>
      </c>
    </row>
    <row r="39" spans="1:10" ht="12.75" customHeight="1">
      <c r="A39" s="6" t="s">
        <v>167</v>
      </c>
      <c r="B39" s="11"/>
      <c r="C39" s="11">
        <v>0.5</v>
      </c>
      <c r="D39" s="11">
        <f t="shared" si="0"/>
        <v>1.1</v>
      </c>
      <c r="E39" s="1" t="s">
        <v>60</v>
      </c>
      <c r="F39" s="2">
        <f t="shared" si="1"/>
        <v>1.1</v>
      </c>
      <c r="H39" s="2">
        <f t="shared" si="2"/>
        <v>3</v>
      </c>
      <c r="J39" s="2" t="str">
        <f t="shared" si="3"/>
        <v>3 #12 W/ #12 GND</v>
      </c>
    </row>
    <row r="40" spans="1:10" ht="12.75" customHeight="1">
      <c r="A40" s="6" t="s">
        <v>168</v>
      </c>
      <c r="B40" s="11"/>
      <c r="C40" s="11">
        <v>3</v>
      </c>
      <c r="D40" s="11">
        <f t="shared" si="0"/>
        <v>4.8</v>
      </c>
      <c r="E40" s="1" t="s">
        <v>60</v>
      </c>
      <c r="F40" s="2">
        <f t="shared" si="1"/>
        <v>4.8</v>
      </c>
      <c r="H40" s="2">
        <f t="shared" si="2"/>
        <v>10</v>
      </c>
      <c r="J40" s="2" t="str">
        <f t="shared" si="3"/>
        <v>3 #12 W/ #12 GND</v>
      </c>
    </row>
    <row r="41" spans="1:10" ht="12.75" customHeight="1">
      <c r="A41" s="6" t="s">
        <v>169</v>
      </c>
      <c r="B41" s="11"/>
      <c r="C41" s="11">
        <v>15</v>
      </c>
      <c r="D41" s="11">
        <f t="shared" si="0"/>
        <v>21</v>
      </c>
      <c r="E41" s="1" t="s">
        <v>60</v>
      </c>
      <c r="F41" s="2">
        <f t="shared" si="1"/>
        <v>21</v>
      </c>
      <c r="H41" s="2">
        <f t="shared" si="2"/>
        <v>40</v>
      </c>
      <c r="J41" s="2" t="str">
        <f t="shared" si="3"/>
        <v>3 #10 W/ #10 GND</v>
      </c>
    </row>
    <row r="42" spans="1:10" ht="12.75" customHeight="1">
      <c r="A42" s="6" t="s">
        <v>162</v>
      </c>
      <c r="B42" s="11"/>
      <c r="C42" s="11">
        <v>5</v>
      </c>
      <c r="D42" s="11">
        <f t="shared" si="0"/>
        <v>7.6</v>
      </c>
      <c r="E42" s="1" t="s">
        <v>60</v>
      </c>
      <c r="F42" s="2">
        <f t="shared" si="1"/>
        <v>7.6</v>
      </c>
      <c r="H42" s="2">
        <f t="shared" si="2"/>
        <v>15</v>
      </c>
      <c r="J42" s="2" t="str">
        <f t="shared" si="3"/>
        <v>3 #12 W/ #12 GND</v>
      </c>
    </row>
    <row r="43" spans="1:10" ht="12.75" customHeight="1">
      <c r="A43" s="6" t="s">
        <v>170</v>
      </c>
      <c r="B43" s="11"/>
      <c r="C43" s="11">
        <v>5</v>
      </c>
      <c r="D43" s="11">
        <f t="shared" si="0"/>
        <v>7.6</v>
      </c>
      <c r="E43" s="1" t="s">
        <v>60</v>
      </c>
      <c r="F43" s="2">
        <f t="shared" si="1"/>
        <v>7.6</v>
      </c>
      <c r="H43" s="2">
        <f t="shared" si="2"/>
        <v>15</v>
      </c>
      <c r="J43" s="2" t="str">
        <f t="shared" si="3"/>
        <v>3 #12 W/ #12 GND</v>
      </c>
    </row>
    <row r="44" spans="1:10" ht="12.75" customHeight="1">
      <c r="A44" s="6" t="s">
        <v>171</v>
      </c>
      <c r="B44" s="11"/>
      <c r="C44" s="11">
        <v>15</v>
      </c>
      <c r="D44" s="11">
        <f t="shared" si="0"/>
        <v>21</v>
      </c>
      <c r="E44" s="1" t="s">
        <v>60</v>
      </c>
      <c r="F44" s="2">
        <f t="shared" si="1"/>
        <v>21</v>
      </c>
      <c r="H44" s="2">
        <f t="shared" si="2"/>
        <v>40</v>
      </c>
      <c r="J44" s="2" t="str">
        <f t="shared" si="3"/>
        <v>3 #10 W/ #10 GND</v>
      </c>
    </row>
    <row r="45" spans="1:10" ht="12.75" customHeight="1">
      <c r="A45" s="6" t="s">
        <v>172</v>
      </c>
      <c r="B45" s="11"/>
      <c r="C45" s="11">
        <v>3</v>
      </c>
      <c r="D45" s="11">
        <f t="shared" si="0"/>
        <v>4.8</v>
      </c>
      <c r="E45" s="1" t="s">
        <v>60</v>
      </c>
      <c r="F45" s="2">
        <f t="shared" si="1"/>
        <v>4.8</v>
      </c>
      <c r="H45" s="2">
        <f t="shared" si="2"/>
        <v>10</v>
      </c>
      <c r="J45" s="2" t="str">
        <f t="shared" si="3"/>
        <v>3 #12 W/ #12 GND</v>
      </c>
    </row>
    <row r="46" spans="1:10" ht="12.75" customHeight="1">
      <c r="A46" s="6" t="s">
        <v>173</v>
      </c>
      <c r="B46" s="11"/>
      <c r="C46" s="11">
        <v>10</v>
      </c>
      <c r="D46" s="11">
        <f t="shared" si="0"/>
        <v>14</v>
      </c>
      <c r="E46" s="1" t="s">
        <v>60</v>
      </c>
      <c r="F46" s="2">
        <f t="shared" si="1"/>
        <v>14</v>
      </c>
      <c r="H46" s="2">
        <f t="shared" si="2"/>
        <v>30</v>
      </c>
      <c r="J46" s="2" t="str">
        <f t="shared" si="3"/>
        <v>3 #12 W/ #12 GND</v>
      </c>
    </row>
    <row r="47" spans="1:10" ht="12.75" customHeight="1">
      <c r="A47" s="6" t="s">
        <v>160</v>
      </c>
      <c r="B47" s="11"/>
      <c r="C47" s="11">
        <v>15</v>
      </c>
      <c r="D47" s="11">
        <f t="shared" si="0"/>
        <v>21</v>
      </c>
      <c r="E47" s="1" t="s">
        <v>60</v>
      </c>
      <c r="F47" s="2">
        <f t="shared" si="1"/>
        <v>21</v>
      </c>
      <c r="H47" s="2">
        <f t="shared" si="2"/>
        <v>40</v>
      </c>
      <c r="J47" s="2" t="str">
        <f t="shared" si="3"/>
        <v>3 #10 W/ #10 GND</v>
      </c>
    </row>
    <row r="48" spans="1:10" ht="12.75" customHeight="1">
      <c r="A48" s="6" t="s">
        <v>174</v>
      </c>
      <c r="B48" s="11"/>
      <c r="C48" s="11">
        <v>10</v>
      </c>
      <c r="D48" s="11">
        <f>F48</f>
        <v>14</v>
      </c>
      <c r="E48" s="1" t="s">
        <v>60</v>
      </c>
      <c r="F48" s="2">
        <f>(((INDEX($C$72:$C$99,MATCH(C48,$B$72:$B$99,1)+1))-(VLOOKUP(C48,FLA_Table,2,TRUE)))/((INDEX($B$72:$B$99,MATCH(C48,$B$72:$B$99,1)+1))-(VLOOKUP(C48,FLA_Table,1,TRUE))))*(C48-VLOOKUP(C48,FLA_Table,1,TRUE))+VLOOKUP(C48,FLA_Table,2,TRUE)</f>
        <v>14</v>
      </c>
      <c r="H48" s="2">
        <f>IF(C48=VLOOKUP(C48,FLA_Table,1,TRUE),IF(OR(E48="y",E48="yes"),VLOOKUP(C48,FLA_Table,4,TRUE),VLOOKUP(C48,FLA_Table,3,TRUE)),IF(OR(E48="y",E48="yes"),INDEX($E$72:$E$99,MATCH(C48,$B$72:$B$99,1)+1),INDEX($D$72:$D$99,MATCH(C48,$B$72:$B$99,1)+1)))</f>
        <v>30</v>
      </c>
      <c r="J48" s="2" t="str">
        <f>VLOOKUP(C48,FLA_Table,5,TRUE)</f>
        <v>3 #12 W/ #12 GND</v>
      </c>
    </row>
    <row r="49" spans="1:10" ht="12.75" customHeight="1">
      <c r="A49" s="6" t="s">
        <v>175</v>
      </c>
      <c r="B49" s="11"/>
      <c r="C49" s="11">
        <v>25</v>
      </c>
      <c r="D49" s="11">
        <f>F49</f>
        <v>34</v>
      </c>
      <c r="E49" s="1" t="s">
        <v>60</v>
      </c>
      <c r="F49" s="2">
        <f>(((INDEX($C$72:$C$99,MATCH(C49,$B$72:$B$99,1)+1))-(VLOOKUP(C49,FLA_Table,2,TRUE)))/((INDEX($B$72:$B$99,MATCH(C49,$B$72:$B$99,1)+1))-(VLOOKUP(C49,FLA_Table,1,TRUE))))*(C49-VLOOKUP(C49,FLA_Table,1,TRUE))+VLOOKUP(C49,FLA_Table,2,TRUE)</f>
        <v>34</v>
      </c>
      <c r="H49" s="2">
        <f>IF(C49=VLOOKUP(C49,FLA_Table,1,TRUE),IF(OR(E49="y",E49="yes"),VLOOKUP(C49,FLA_Table,4,TRUE),VLOOKUP(C49,FLA_Table,3,TRUE)),IF(OR(E49="y",E49="yes"),INDEX($E$72:$E$99,MATCH(C49,$B$72:$B$99,1)+1),INDEX($D$72:$D$99,MATCH(C49,$B$72:$B$99,1)+1)))</f>
        <v>50</v>
      </c>
      <c r="J49" s="2" t="str">
        <f>VLOOKUP(C49,FLA_Table,5,TRUE)</f>
        <v>3 #8 W/ #10 GND</v>
      </c>
    </row>
    <row r="50" spans="1:10" ht="12.75" customHeight="1">
      <c r="A50" s="6" t="s">
        <v>176</v>
      </c>
      <c r="B50" s="11"/>
      <c r="C50" s="11">
        <v>25</v>
      </c>
      <c r="D50" s="11">
        <f>F50</f>
        <v>34</v>
      </c>
      <c r="E50" s="1" t="s">
        <v>60</v>
      </c>
      <c r="F50" s="2">
        <f>(((INDEX($C$72:$C$99,MATCH(C50,$B$72:$B$99,1)+1))-(VLOOKUP(C50,FLA_Table,2,TRUE)))/((INDEX($B$72:$B$99,MATCH(C50,$B$72:$B$99,1)+1))-(VLOOKUP(C50,FLA_Table,1,TRUE))))*(C50-VLOOKUP(C50,FLA_Table,1,TRUE))+VLOOKUP(C50,FLA_Table,2,TRUE)</f>
        <v>34</v>
      </c>
      <c r="H50" s="2">
        <f>IF(C50=VLOOKUP(C50,FLA_Table,1,TRUE),IF(OR(E50="y",E50="yes"),VLOOKUP(C50,FLA_Table,4,TRUE),VLOOKUP(C50,FLA_Table,3,TRUE)),IF(OR(E50="y",E50="yes"),INDEX($E$72:$E$99,MATCH(C50,$B$72:$B$99,1)+1),INDEX($D$72:$D$99,MATCH(C50,$B$72:$B$99,1)+1)))</f>
        <v>50</v>
      </c>
      <c r="J50" s="2" t="str">
        <f>VLOOKUP(C50,FLA_Table,5,TRUE)</f>
        <v>3 #8 W/ #10 GND</v>
      </c>
    </row>
    <row r="51" spans="1:10" ht="12.75" customHeight="1">
      <c r="A51" s="6" t="s">
        <v>177</v>
      </c>
      <c r="B51" s="11"/>
      <c r="C51" s="11">
        <v>25</v>
      </c>
      <c r="D51" s="11">
        <f>F51</f>
        <v>34</v>
      </c>
      <c r="E51" s="1" t="s">
        <v>60</v>
      </c>
      <c r="F51" s="2">
        <f>(((INDEX($C$72:$C$99,MATCH(C51,$B$72:$B$99,1)+1))-(VLOOKUP(C51,FLA_Table,2,TRUE)))/((INDEX($B$72:$B$99,MATCH(C51,$B$72:$B$99,1)+1))-(VLOOKUP(C51,FLA_Table,1,TRUE))))*(C51-VLOOKUP(C51,FLA_Table,1,TRUE))+VLOOKUP(C51,FLA_Table,2,TRUE)</f>
        <v>34</v>
      </c>
      <c r="H51" s="2">
        <f>IF(C51=VLOOKUP(C51,FLA_Table,1,TRUE),IF(OR(E51="y",E51="yes"),VLOOKUP(C51,FLA_Table,4,TRUE),VLOOKUP(C51,FLA_Table,3,TRUE)),IF(OR(E51="y",E51="yes"),INDEX($E$72:$E$99,MATCH(C51,$B$72:$B$99,1)+1),INDEX($D$72:$D$99,MATCH(C51,$B$72:$B$99,1)+1)))</f>
        <v>50</v>
      </c>
      <c r="J51" s="2" t="str">
        <f>VLOOKUP(C51,FLA_Table,5,TRUE)</f>
        <v>3 #8 W/ #10 GND</v>
      </c>
    </row>
    <row r="52" spans="1:4" ht="12.75" customHeight="1">
      <c r="A52" s="6"/>
      <c r="B52" s="11"/>
      <c r="C52" s="11"/>
      <c r="D52" s="11"/>
    </row>
    <row r="53" spans="1:4" ht="12.75" customHeight="1">
      <c r="A53" s="7" t="s">
        <v>50</v>
      </c>
      <c r="B53" s="11"/>
      <c r="C53" s="11"/>
      <c r="D53" s="11"/>
    </row>
    <row r="54" spans="1:4" ht="12.75" customHeight="1">
      <c r="A54" s="14" t="s">
        <v>178</v>
      </c>
      <c r="B54" s="11">
        <v>25</v>
      </c>
      <c r="C54" s="11"/>
      <c r="D54" s="11">
        <f>(B54*1000)/(480*1.73)</f>
        <v>30.105973025048172</v>
      </c>
    </row>
    <row r="55" spans="1:4" ht="12.75" customHeight="1">
      <c r="A55" s="14" t="s">
        <v>179</v>
      </c>
      <c r="B55" s="11">
        <v>1</v>
      </c>
      <c r="C55" s="11"/>
      <c r="D55" s="11">
        <f aca="true" t="shared" si="4" ref="D55:D60">(B55*1000)/(480*1.73)</f>
        <v>1.2042389210019269</v>
      </c>
    </row>
    <row r="56" spans="1:4" ht="12.75" customHeight="1">
      <c r="A56" s="14" t="s">
        <v>180</v>
      </c>
      <c r="B56" s="11"/>
      <c r="C56" s="11"/>
      <c r="D56" s="11">
        <f t="shared" si="4"/>
        <v>0</v>
      </c>
    </row>
    <row r="57" spans="1:4" ht="12.75" customHeight="1">
      <c r="A57" s="14" t="s">
        <v>181</v>
      </c>
      <c r="B57" s="11"/>
      <c r="C57" s="11"/>
      <c r="D57" s="11">
        <f t="shared" si="4"/>
        <v>0</v>
      </c>
    </row>
    <row r="58" spans="1:4" ht="12.75" customHeight="1">
      <c r="A58" s="14" t="s">
        <v>182</v>
      </c>
      <c r="B58" s="11"/>
      <c r="C58" s="11"/>
      <c r="D58" s="11">
        <f t="shared" si="4"/>
        <v>0</v>
      </c>
    </row>
    <row r="59" spans="1:4" ht="12.75" customHeight="1">
      <c r="A59" s="14" t="s">
        <v>183</v>
      </c>
      <c r="B59" s="11"/>
      <c r="C59" s="11"/>
      <c r="D59" s="11">
        <f>'EXISTING MCC-9A'!D50</f>
        <v>83.29999999999998</v>
      </c>
    </row>
    <row r="60" spans="2:4" ht="12.75" customHeight="1">
      <c r="B60" s="11"/>
      <c r="C60" s="11"/>
      <c r="D60" s="11">
        <f t="shared" si="4"/>
        <v>0</v>
      </c>
    </row>
    <row r="61" spans="1:4" ht="12.75" customHeight="1">
      <c r="A61" s="6"/>
      <c r="B61" s="11"/>
      <c r="C61" s="11"/>
      <c r="D61" s="11"/>
    </row>
    <row r="62" spans="1:4" ht="12.75" customHeight="1">
      <c r="A62" s="15" t="s">
        <v>7</v>
      </c>
      <c r="B62" s="16"/>
      <c r="C62" s="17"/>
      <c r="D62" s="18">
        <f>SUM(D34:D54)</f>
        <v>300.80597302504816</v>
      </c>
    </row>
    <row r="63" spans="1:4" ht="12.75" customHeight="1">
      <c r="A63" s="19" t="s">
        <v>8</v>
      </c>
      <c r="B63" s="16"/>
      <c r="C63" s="17"/>
      <c r="D63" s="18">
        <f>MAX(D34:D51)*0.25</f>
        <v>8.5</v>
      </c>
    </row>
    <row r="64" spans="1:4" ht="12.75" customHeight="1">
      <c r="A64" s="15" t="s">
        <v>9</v>
      </c>
      <c r="B64" s="16"/>
      <c r="C64" s="17"/>
      <c r="D64" s="18">
        <f>SUM(D62:D63)</f>
        <v>309.30597302504816</v>
      </c>
    </row>
    <row r="65" spans="1:4" ht="12.75" customHeight="1">
      <c r="A65" s="20" t="s">
        <v>48</v>
      </c>
      <c r="B65" s="21"/>
      <c r="C65" s="21"/>
      <c r="D65" s="22">
        <v>600</v>
      </c>
    </row>
    <row r="70" spans="2:22" ht="12.75" customHeight="1">
      <c r="B70" s="174" t="s">
        <v>11</v>
      </c>
      <c r="C70" s="175"/>
      <c r="D70" s="175"/>
      <c r="E70" s="175"/>
      <c r="F70" s="176"/>
      <c r="G70" s="49"/>
      <c r="H70" s="40"/>
      <c r="I70" s="28"/>
      <c r="K70" s="174" t="s">
        <v>83</v>
      </c>
      <c r="L70" s="176"/>
      <c r="N70" s="56" t="s">
        <v>96</v>
      </c>
      <c r="O70" s="57" t="s">
        <v>97</v>
      </c>
      <c r="P70" s="57" t="s">
        <v>98</v>
      </c>
      <c r="Q70" s="166"/>
      <c r="R70" s="58" t="s">
        <v>99</v>
      </c>
      <c r="S70" s="55" t="s">
        <v>100</v>
      </c>
      <c r="T70" s="55" t="s">
        <v>101</v>
      </c>
      <c r="U70" s="55" t="s">
        <v>102</v>
      </c>
      <c r="V70" s="54" t="s">
        <v>103</v>
      </c>
    </row>
    <row r="71" spans="2:22" ht="12.75" customHeight="1">
      <c r="B71" s="7" t="s">
        <v>12</v>
      </c>
      <c r="C71" s="7" t="s">
        <v>13</v>
      </c>
      <c r="D71" s="7" t="s">
        <v>58</v>
      </c>
      <c r="E71" s="7" t="s">
        <v>59</v>
      </c>
      <c r="F71" s="7" t="s">
        <v>66</v>
      </c>
      <c r="H71" s="51"/>
      <c r="I71" s="5"/>
      <c r="K71" s="7" t="s">
        <v>82</v>
      </c>
      <c r="L71" s="41" t="s">
        <v>66</v>
      </c>
      <c r="N71" s="160" t="s">
        <v>104</v>
      </c>
      <c r="O71" s="162" t="s">
        <v>108</v>
      </c>
      <c r="P71" s="169" t="s">
        <v>107</v>
      </c>
      <c r="Q71" s="167"/>
      <c r="R71" s="158"/>
      <c r="S71" s="158"/>
      <c r="T71" s="158"/>
      <c r="U71" s="158"/>
      <c r="V71" s="158">
        <f>IF(ISERROR(IF(U71=1,(R71*1000)/(S71*T71),(R71*1000)/(S71*T71*SQRT(3)))),"",IF(U71=1,(R71*1000)/(S71*T71),(R71*1000)/(S71*T71*SQRT(3))))</f>
      </c>
    </row>
    <row r="72" spans="2:22" ht="12.75" customHeight="1">
      <c r="B72" s="6">
        <v>0</v>
      </c>
      <c r="C72" s="6">
        <v>0</v>
      </c>
      <c r="D72" s="6">
        <v>0</v>
      </c>
      <c r="E72" s="6">
        <v>0</v>
      </c>
      <c r="F72" s="6" t="s">
        <v>64</v>
      </c>
      <c r="H72" s="40"/>
      <c r="I72" s="5"/>
      <c r="K72" s="25">
        <v>25</v>
      </c>
      <c r="L72" s="6" t="s">
        <v>64</v>
      </c>
      <c r="N72" s="161"/>
      <c r="O72" s="163"/>
      <c r="P72" s="170"/>
      <c r="Q72" s="167"/>
      <c r="R72" s="159"/>
      <c r="S72" s="159"/>
      <c r="T72" s="159"/>
      <c r="U72" s="159"/>
      <c r="V72" s="159"/>
    </row>
    <row r="73" spans="2:22" ht="12.75" customHeight="1">
      <c r="B73" s="6">
        <v>0.5</v>
      </c>
      <c r="C73" s="6">
        <v>1.1</v>
      </c>
      <c r="D73" s="6">
        <v>3</v>
      </c>
      <c r="E73" s="6">
        <v>15</v>
      </c>
      <c r="F73" s="6" t="s">
        <v>64</v>
      </c>
      <c r="H73" s="40"/>
      <c r="I73" s="5"/>
      <c r="K73" s="25">
        <v>30</v>
      </c>
      <c r="L73" s="6" t="s">
        <v>65</v>
      </c>
      <c r="N73" s="160" t="s">
        <v>105</v>
      </c>
      <c r="O73" s="162" t="s">
        <v>110</v>
      </c>
      <c r="P73" s="162" t="s">
        <v>109</v>
      </c>
      <c r="Q73" s="167"/>
      <c r="R73" s="158"/>
      <c r="S73" s="158"/>
      <c r="T73" s="164" t="s">
        <v>106</v>
      </c>
      <c r="U73" s="158"/>
      <c r="V73" s="158">
        <f>IF(ISERROR(IF(U73=1,(R73*1000)/(S73),(R73*1000)/(S73*SQRT(3)))),"",IF(U73=1,(R73*1000)/(S73),(R73*1000)/(S73*SQRT(3))))</f>
      </c>
    </row>
    <row r="74" spans="2:22" ht="12.75" customHeight="1">
      <c r="B74" s="6">
        <v>0.75</v>
      </c>
      <c r="C74" s="6">
        <v>1.6</v>
      </c>
      <c r="D74" s="6">
        <v>3</v>
      </c>
      <c r="E74" s="6">
        <v>15</v>
      </c>
      <c r="F74" s="6" t="s">
        <v>64</v>
      </c>
      <c r="H74" s="40"/>
      <c r="I74" s="5"/>
      <c r="K74" s="25">
        <v>40</v>
      </c>
      <c r="L74" s="6" t="s">
        <v>67</v>
      </c>
      <c r="N74" s="161"/>
      <c r="O74" s="163"/>
      <c r="P74" s="163"/>
      <c r="Q74" s="168"/>
      <c r="R74" s="159"/>
      <c r="S74" s="159"/>
      <c r="T74" s="165"/>
      <c r="U74" s="159"/>
      <c r="V74" s="159"/>
    </row>
    <row r="75" spans="2:12" ht="12.75" customHeight="1">
      <c r="B75" s="6">
        <v>1</v>
      </c>
      <c r="C75" s="6">
        <v>2.1</v>
      </c>
      <c r="D75" s="6">
        <v>3</v>
      </c>
      <c r="E75" s="6">
        <v>15</v>
      </c>
      <c r="F75" s="6" t="s">
        <v>64</v>
      </c>
      <c r="H75" s="40"/>
      <c r="I75" s="5"/>
      <c r="K75" s="25">
        <v>55</v>
      </c>
      <c r="L75" s="6" t="s">
        <v>85</v>
      </c>
    </row>
    <row r="76" spans="2:12" ht="12.75" customHeight="1">
      <c r="B76" s="6">
        <v>1.5</v>
      </c>
      <c r="C76" s="6">
        <v>3</v>
      </c>
      <c r="D76" s="6">
        <v>7</v>
      </c>
      <c r="E76" s="6">
        <v>15</v>
      </c>
      <c r="F76" s="6" t="s">
        <v>64</v>
      </c>
      <c r="H76" s="40"/>
      <c r="I76" s="5"/>
      <c r="K76" s="25">
        <v>70</v>
      </c>
      <c r="L76" s="6" t="s">
        <v>69</v>
      </c>
    </row>
    <row r="77" spans="2:12" ht="12.75" customHeight="1">
      <c r="B77" s="6">
        <v>2</v>
      </c>
      <c r="C77" s="6">
        <v>3.4</v>
      </c>
      <c r="D77" s="6">
        <v>7</v>
      </c>
      <c r="E77" s="6">
        <v>15</v>
      </c>
      <c r="F77" s="6" t="s">
        <v>64</v>
      </c>
      <c r="H77" s="40"/>
      <c r="I77" s="5"/>
      <c r="K77" s="25">
        <v>100</v>
      </c>
      <c r="L77" s="6" t="s">
        <v>70</v>
      </c>
    </row>
    <row r="78" spans="2:12" ht="12.75" customHeight="1">
      <c r="B78" s="6">
        <v>3</v>
      </c>
      <c r="C78" s="6">
        <v>4.8</v>
      </c>
      <c r="D78" s="6">
        <v>10</v>
      </c>
      <c r="E78" s="6">
        <v>15</v>
      </c>
      <c r="F78" s="6" t="s">
        <v>64</v>
      </c>
      <c r="H78" s="40"/>
      <c r="I78" s="5"/>
      <c r="K78" s="25">
        <v>115</v>
      </c>
      <c r="L78" s="6" t="s">
        <v>84</v>
      </c>
    </row>
    <row r="79" spans="2:12" ht="12.75" customHeight="1">
      <c r="B79" s="6">
        <v>5</v>
      </c>
      <c r="C79" s="6">
        <v>7.6</v>
      </c>
      <c r="D79" s="6">
        <v>15</v>
      </c>
      <c r="E79" s="6">
        <v>15</v>
      </c>
      <c r="F79" s="6" t="s">
        <v>64</v>
      </c>
      <c r="H79" s="40"/>
      <c r="I79" s="5"/>
      <c r="K79" s="25">
        <v>130</v>
      </c>
      <c r="L79" s="6" t="s">
        <v>71</v>
      </c>
    </row>
    <row r="80" spans="2:12" ht="12.75" customHeight="1">
      <c r="B80" s="6">
        <v>7.5</v>
      </c>
      <c r="C80" s="6">
        <v>11</v>
      </c>
      <c r="D80" s="6">
        <v>20</v>
      </c>
      <c r="E80" s="6">
        <v>15</v>
      </c>
      <c r="F80" s="6" t="s">
        <v>64</v>
      </c>
      <c r="H80" s="40"/>
      <c r="I80" s="5"/>
      <c r="K80" s="25">
        <v>150</v>
      </c>
      <c r="L80" s="6" t="s">
        <v>86</v>
      </c>
    </row>
    <row r="81" spans="2:12" ht="12.75" customHeight="1">
      <c r="B81" s="6">
        <v>10</v>
      </c>
      <c r="C81" s="6">
        <v>14</v>
      </c>
      <c r="D81" s="6">
        <v>30</v>
      </c>
      <c r="E81" s="6">
        <v>20</v>
      </c>
      <c r="F81" s="6" t="s">
        <v>64</v>
      </c>
      <c r="H81" s="40"/>
      <c r="I81" s="5"/>
      <c r="K81" s="25">
        <v>175</v>
      </c>
      <c r="L81" s="6" t="s">
        <v>72</v>
      </c>
    </row>
    <row r="82" spans="2:12" ht="12.75" customHeight="1">
      <c r="B82" s="6">
        <v>15</v>
      </c>
      <c r="C82" s="6">
        <v>21</v>
      </c>
      <c r="D82" s="6">
        <v>40</v>
      </c>
      <c r="E82" s="6">
        <v>30</v>
      </c>
      <c r="F82" s="6" t="s">
        <v>65</v>
      </c>
      <c r="H82" s="40"/>
      <c r="I82" s="5"/>
      <c r="K82" s="25">
        <v>200</v>
      </c>
      <c r="L82" s="6" t="s">
        <v>73</v>
      </c>
    </row>
    <row r="83" spans="2:12" ht="12.75" customHeight="1">
      <c r="B83" s="6">
        <v>20</v>
      </c>
      <c r="C83" s="6">
        <v>27</v>
      </c>
      <c r="D83" s="6">
        <v>50</v>
      </c>
      <c r="E83" s="6">
        <v>40</v>
      </c>
      <c r="F83" s="6" t="s">
        <v>65</v>
      </c>
      <c r="H83" s="40"/>
      <c r="I83" s="5"/>
      <c r="K83" s="25">
        <v>230</v>
      </c>
      <c r="L83" s="6" t="s">
        <v>74</v>
      </c>
    </row>
    <row r="84" spans="2:12" ht="12.75" customHeight="1">
      <c r="B84" s="6">
        <v>25</v>
      </c>
      <c r="C84" s="6">
        <v>34</v>
      </c>
      <c r="D84" s="6">
        <v>50</v>
      </c>
      <c r="E84" s="6">
        <v>50</v>
      </c>
      <c r="F84" s="6" t="s">
        <v>67</v>
      </c>
      <c r="H84" s="40"/>
      <c r="I84" s="5"/>
      <c r="K84" s="25">
        <v>255</v>
      </c>
      <c r="L84" s="6" t="s">
        <v>87</v>
      </c>
    </row>
    <row r="85" spans="2:12" ht="12.75" customHeight="1">
      <c r="B85" s="6">
        <v>30</v>
      </c>
      <c r="C85" s="6">
        <v>40</v>
      </c>
      <c r="D85" s="6">
        <v>70</v>
      </c>
      <c r="E85" s="6">
        <v>60</v>
      </c>
      <c r="F85" s="6" t="s">
        <v>67</v>
      </c>
      <c r="H85" s="40"/>
      <c r="I85" s="5"/>
      <c r="K85" s="25">
        <v>285</v>
      </c>
      <c r="L85" s="6" t="s">
        <v>87</v>
      </c>
    </row>
    <row r="86" spans="2:12" ht="12.75" customHeight="1">
      <c r="B86" s="6">
        <v>40</v>
      </c>
      <c r="C86" s="6">
        <v>52</v>
      </c>
      <c r="D86" s="6">
        <v>100</v>
      </c>
      <c r="E86" s="6">
        <v>80</v>
      </c>
      <c r="F86" s="6" t="s">
        <v>68</v>
      </c>
      <c r="H86" s="40"/>
      <c r="I86" s="5"/>
      <c r="K86" s="25">
        <v>310</v>
      </c>
      <c r="L86" s="6" t="s">
        <v>75</v>
      </c>
    </row>
    <row r="87" spans="2:12" ht="12.75" customHeight="1">
      <c r="B87" s="6">
        <v>50</v>
      </c>
      <c r="C87" s="6">
        <v>65</v>
      </c>
      <c r="D87" s="6">
        <v>150</v>
      </c>
      <c r="E87" s="6">
        <v>100</v>
      </c>
      <c r="F87" s="6" t="s">
        <v>69</v>
      </c>
      <c r="H87" s="40"/>
      <c r="I87" s="5"/>
      <c r="K87" s="25">
        <v>335</v>
      </c>
      <c r="L87" s="6" t="s">
        <v>88</v>
      </c>
    </row>
    <row r="88" spans="2:12" ht="12.75" customHeight="1">
      <c r="B88" s="6">
        <v>60</v>
      </c>
      <c r="C88" s="6">
        <v>77</v>
      </c>
      <c r="D88" s="6">
        <v>200</v>
      </c>
      <c r="E88" s="6">
        <v>125</v>
      </c>
      <c r="F88" s="6" t="s">
        <v>70</v>
      </c>
      <c r="H88" s="50"/>
      <c r="K88" s="25">
        <v>380</v>
      </c>
      <c r="L88" s="6" t="s">
        <v>76</v>
      </c>
    </row>
    <row r="89" spans="2:12" ht="12.75" customHeight="1">
      <c r="B89" s="6">
        <v>75</v>
      </c>
      <c r="C89" s="6">
        <v>96</v>
      </c>
      <c r="D89" s="6">
        <v>200</v>
      </c>
      <c r="E89" s="6">
        <v>150</v>
      </c>
      <c r="F89" s="6" t="s">
        <v>71</v>
      </c>
      <c r="K89" s="6">
        <v>400</v>
      </c>
      <c r="L89" s="6" t="s">
        <v>89</v>
      </c>
    </row>
    <row r="90" spans="2:12" ht="12.75" customHeight="1">
      <c r="B90" s="6">
        <v>100</v>
      </c>
      <c r="C90" s="6">
        <v>124</v>
      </c>
      <c r="D90" s="6">
        <v>200</v>
      </c>
      <c r="E90" s="6">
        <v>200</v>
      </c>
      <c r="F90" s="6" t="s">
        <v>72</v>
      </c>
      <c r="K90" s="6">
        <v>500</v>
      </c>
      <c r="L90" s="6" t="s">
        <v>89</v>
      </c>
    </row>
    <row r="91" spans="2:12" ht="12.75" customHeight="1">
      <c r="B91" s="6">
        <v>125</v>
      </c>
      <c r="C91" s="6">
        <v>156</v>
      </c>
      <c r="D91" s="6">
        <v>250</v>
      </c>
      <c r="E91" s="6">
        <v>250</v>
      </c>
      <c r="F91" s="6" t="s">
        <v>73</v>
      </c>
      <c r="K91" s="6">
        <v>600</v>
      </c>
      <c r="L91" s="6" t="s">
        <v>90</v>
      </c>
    </row>
    <row r="92" spans="2:12" ht="12.75" customHeight="1">
      <c r="B92" s="6">
        <v>150</v>
      </c>
      <c r="C92" s="6">
        <v>180</v>
      </c>
      <c r="D92" s="6">
        <v>300</v>
      </c>
      <c r="E92" s="6">
        <v>300</v>
      </c>
      <c r="F92" s="6" t="s">
        <v>74</v>
      </c>
      <c r="K92" s="6">
        <v>800</v>
      </c>
      <c r="L92" s="6" t="s">
        <v>91</v>
      </c>
    </row>
    <row r="93" spans="2:12" ht="12.75" customHeight="1">
      <c r="B93" s="6">
        <v>200</v>
      </c>
      <c r="C93" s="6">
        <v>240</v>
      </c>
      <c r="D93" s="6">
        <v>400</v>
      </c>
      <c r="E93" s="6">
        <v>400</v>
      </c>
      <c r="F93" s="6" t="s">
        <v>75</v>
      </c>
      <c r="K93" s="6">
        <v>1000</v>
      </c>
      <c r="L93" s="6" t="s">
        <v>92</v>
      </c>
    </row>
    <row r="94" spans="2:12" ht="12.75" customHeight="1">
      <c r="B94" s="6">
        <v>250</v>
      </c>
      <c r="C94" s="6">
        <v>302</v>
      </c>
      <c r="D94" s="6">
        <v>500</v>
      </c>
      <c r="E94" s="6">
        <v>500</v>
      </c>
      <c r="F94" s="6" t="s">
        <v>76</v>
      </c>
      <c r="K94" s="6">
        <v>1200</v>
      </c>
      <c r="L94" s="6" t="s">
        <v>93</v>
      </c>
    </row>
    <row r="95" spans="2:12" ht="12.75" customHeight="1">
      <c r="B95" s="6">
        <v>300</v>
      </c>
      <c r="C95" s="6">
        <v>361</v>
      </c>
      <c r="D95" s="6">
        <v>600</v>
      </c>
      <c r="E95" s="6">
        <v>600</v>
      </c>
      <c r="F95" s="6" t="s">
        <v>77</v>
      </c>
      <c r="K95" s="6">
        <v>1600</v>
      </c>
      <c r="L95" s="6" t="s">
        <v>94</v>
      </c>
    </row>
    <row r="96" spans="2:6" ht="12.75" customHeight="1">
      <c r="B96" s="6">
        <v>350</v>
      </c>
      <c r="C96" s="6">
        <v>414</v>
      </c>
      <c r="D96" s="6">
        <v>700</v>
      </c>
      <c r="E96" s="6">
        <v>700</v>
      </c>
      <c r="F96" s="6" t="s">
        <v>78</v>
      </c>
    </row>
    <row r="97" spans="2:6" ht="12.75" customHeight="1">
      <c r="B97" s="6">
        <v>400</v>
      </c>
      <c r="C97" s="6">
        <v>477</v>
      </c>
      <c r="D97" s="6">
        <v>800</v>
      </c>
      <c r="E97" s="6">
        <v>800</v>
      </c>
      <c r="F97" s="6" t="s">
        <v>79</v>
      </c>
    </row>
    <row r="98" spans="2:6" ht="12.75" customHeight="1">
      <c r="B98" s="6">
        <v>450</v>
      </c>
      <c r="C98" s="6">
        <v>515</v>
      </c>
      <c r="D98" s="6">
        <v>900</v>
      </c>
      <c r="E98" s="6">
        <v>900</v>
      </c>
      <c r="F98" s="6" t="s">
        <v>80</v>
      </c>
    </row>
    <row r="99" spans="2:6" ht="12.75" customHeight="1">
      <c r="B99" s="6">
        <v>500</v>
      </c>
      <c r="C99" s="6">
        <v>590</v>
      </c>
      <c r="D99" s="6">
        <v>1000</v>
      </c>
      <c r="E99" s="6">
        <v>1000</v>
      </c>
      <c r="F99" s="6" t="s">
        <v>81</v>
      </c>
    </row>
  </sheetData>
  <sheetProtection/>
  <mergeCells count="23">
    <mergeCell ref="B3:E3"/>
    <mergeCell ref="B4:E4"/>
    <mergeCell ref="A8:E8"/>
    <mergeCell ref="A29:D29"/>
    <mergeCell ref="B70:F70"/>
    <mergeCell ref="K70:L70"/>
    <mergeCell ref="U73:U74"/>
    <mergeCell ref="Q70:Q74"/>
    <mergeCell ref="N71:N72"/>
    <mergeCell ref="O71:O72"/>
    <mergeCell ref="P71:P72"/>
    <mergeCell ref="R71:R72"/>
    <mergeCell ref="S71:S72"/>
    <mergeCell ref="V73:V74"/>
    <mergeCell ref="T71:T72"/>
    <mergeCell ref="U71:U72"/>
    <mergeCell ref="V71:V72"/>
    <mergeCell ref="N73:N74"/>
    <mergeCell ref="O73:O74"/>
    <mergeCell ref="P73:P74"/>
    <mergeCell ref="R73:R74"/>
    <mergeCell ref="S73:S74"/>
    <mergeCell ref="T73:T74"/>
  </mergeCell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87"/>
  <sheetViews>
    <sheetView zoomScalePageLayoutView="0" workbookViewId="0" topLeftCell="A16">
      <selection activeCell="F37" sqref="F37"/>
    </sheetView>
  </sheetViews>
  <sheetFormatPr defaultColWidth="9.7109375" defaultRowHeight="12.75" customHeight="1"/>
  <cols>
    <col min="1" max="1" width="45.140625" style="2" bestFit="1" customWidth="1"/>
    <col min="2" max="2" width="12.00390625" style="2" bestFit="1" customWidth="1"/>
    <col min="3" max="4" width="8.7109375" style="2" customWidth="1"/>
    <col min="5" max="5" width="12.7109375" style="2" bestFit="1" customWidth="1"/>
    <col min="6" max="6" width="26.00390625" style="2" bestFit="1" customWidth="1"/>
    <col min="7" max="7" width="10.7109375" style="2" customWidth="1"/>
    <col min="8" max="8" width="17.00390625" style="2" bestFit="1" customWidth="1"/>
    <col min="9" max="9" width="10.7109375" style="2" customWidth="1"/>
    <col min="10" max="10" width="16.8515625" style="2" bestFit="1" customWidth="1"/>
    <col min="11" max="11" width="9.7109375" style="2" customWidth="1"/>
    <col min="12" max="12" width="26.00390625" style="2" bestFit="1" customWidth="1"/>
    <col min="13" max="14" width="25.8515625" style="2" bestFit="1" customWidth="1"/>
    <col min="15" max="16" width="9.7109375" style="2" customWidth="1"/>
    <col min="17" max="17" width="3.28125" style="2" customWidth="1"/>
    <col min="18" max="19" width="9.7109375" style="2" customWidth="1"/>
    <col min="20" max="21" width="14.00390625" style="2" bestFit="1" customWidth="1"/>
    <col min="22" max="16384" width="9.7109375" style="2" customWidth="1"/>
  </cols>
  <sheetData>
    <row r="3" spans="1:5" ht="12.75" customHeight="1">
      <c r="A3" s="3" t="s">
        <v>0</v>
      </c>
      <c r="B3" s="171" t="str">
        <f ca="1">MID(CELL("filename"),SEARCH("[",CELL("filename"))+1,SEARCH("]",CELL("filename"))-SEARCH("[",CELL("filename"))-1)</f>
        <v>01 Las Gallinas Electrical Calculations.xls</v>
      </c>
      <c r="C3" s="171"/>
      <c r="D3" s="171"/>
      <c r="E3" s="171"/>
    </row>
    <row r="4" spans="1:5" ht="12.75" customHeight="1">
      <c r="A4" s="3" t="s">
        <v>1</v>
      </c>
      <c r="B4" s="172"/>
      <c r="C4" s="172"/>
      <c r="D4" s="172"/>
      <c r="E4" s="172"/>
    </row>
    <row r="5" ht="12.75" customHeight="1">
      <c r="A5" s="3" t="s">
        <v>2</v>
      </c>
    </row>
    <row r="8" spans="1:5" ht="12.75" customHeight="1">
      <c r="A8" s="173" t="s">
        <v>42</v>
      </c>
      <c r="B8" s="173"/>
      <c r="C8" s="173"/>
      <c r="D8" s="173"/>
      <c r="E8" s="173"/>
    </row>
    <row r="9" spans="1:6" ht="12.75" customHeight="1">
      <c r="A9" s="5"/>
      <c r="B9" s="5"/>
      <c r="C9" s="5"/>
      <c r="D9" s="5"/>
      <c r="E9" s="5"/>
      <c r="F9" s="5"/>
    </row>
    <row r="10" spans="1:5" ht="12.75" customHeight="1">
      <c r="A10" s="6" t="s">
        <v>3</v>
      </c>
      <c r="B10" s="7" t="s">
        <v>43</v>
      </c>
      <c r="C10" s="7" t="s">
        <v>4</v>
      </c>
      <c r="D10" s="7" t="s">
        <v>5</v>
      </c>
      <c r="E10" s="7" t="s">
        <v>6</v>
      </c>
    </row>
    <row r="11" spans="1:5" ht="12.75" customHeight="1">
      <c r="A11" s="7" t="s">
        <v>44</v>
      </c>
      <c r="B11" s="8"/>
      <c r="C11" s="9"/>
      <c r="D11" s="9"/>
      <c r="E11" s="9"/>
    </row>
    <row r="12" spans="1:5" ht="12.75" customHeight="1">
      <c r="A12" s="6" t="s">
        <v>45</v>
      </c>
      <c r="B12" s="10"/>
      <c r="C12" s="11">
        <f>B12*1.25/0.8</f>
        <v>0</v>
      </c>
      <c r="D12" s="11"/>
      <c r="E12" s="11">
        <f>C12*1000/(1.73*480)</f>
        <v>0</v>
      </c>
    </row>
    <row r="13" spans="1:5" ht="12.75" customHeight="1">
      <c r="A13" s="12"/>
      <c r="B13" s="13"/>
      <c r="C13" s="11"/>
      <c r="D13" s="11"/>
      <c r="E13" s="11"/>
    </row>
    <row r="14" spans="1:5" ht="13.5" customHeight="1">
      <c r="A14" s="7" t="s">
        <v>47</v>
      </c>
      <c r="B14" s="13"/>
      <c r="C14" s="11"/>
      <c r="D14" s="11"/>
      <c r="E14" s="11"/>
    </row>
    <row r="15" spans="1:6" ht="12.75" customHeight="1">
      <c r="A15" s="12"/>
      <c r="B15" s="13"/>
      <c r="C15" s="11"/>
      <c r="D15" s="11"/>
      <c r="E15" s="11">
        <f>F15</f>
        <v>0</v>
      </c>
      <c r="F15" s="2">
        <f>VLOOKUP(D15,FLA_Table,2,TRUE)</f>
        <v>0</v>
      </c>
    </row>
    <row r="16" spans="1:6" ht="12.75" customHeight="1">
      <c r="A16" s="12"/>
      <c r="B16" s="13"/>
      <c r="C16" s="11"/>
      <c r="D16" s="11"/>
      <c r="E16" s="11">
        <f>F16</f>
        <v>0</v>
      </c>
      <c r="F16" s="2">
        <f>VLOOKUP(D16,FLA_Table,2,TRUE)</f>
        <v>0</v>
      </c>
    </row>
    <row r="17" spans="1:6" ht="12.75" customHeight="1">
      <c r="A17" s="12"/>
      <c r="B17" s="13"/>
      <c r="C17" s="11"/>
      <c r="D17" s="11"/>
      <c r="E17" s="11">
        <f>F17</f>
        <v>0</v>
      </c>
      <c r="F17" s="2">
        <f>VLOOKUP(D17,FLA_Table,2,TRUE)</f>
        <v>0</v>
      </c>
    </row>
    <row r="18" spans="1:6" ht="12.75" customHeight="1">
      <c r="A18" s="12"/>
      <c r="B18" s="13"/>
      <c r="C18" s="11"/>
      <c r="D18" s="11"/>
      <c r="E18" s="11">
        <f>F18</f>
        <v>0</v>
      </c>
      <c r="F18" s="2">
        <f>VLOOKUP(D18,FLA_Table,2,TRUE)</f>
        <v>0</v>
      </c>
    </row>
    <row r="19" spans="1:6" ht="12.75" customHeight="1">
      <c r="A19" s="6"/>
      <c r="B19" s="10"/>
      <c r="C19" s="11"/>
      <c r="D19" s="11"/>
      <c r="E19" s="11">
        <f>F19</f>
        <v>0</v>
      </c>
      <c r="F19" s="2">
        <f>VLOOKUP(D19:D31,FLA_Table,2,TRUE)</f>
        <v>0</v>
      </c>
    </row>
    <row r="20" spans="1:5" ht="12.75" customHeight="1">
      <c r="A20" s="6"/>
      <c r="B20" s="10"/>
      <c r="C20" s="11"/>
      <c r="D20" s="11"/>
      <c r="E20" s="11"/>
    </row>
    <row r="21" spans="1:5" ht="12.75" customHeight="1">
      <c r="A21" s="7" t="s">
        <v>51</v>
      </c>
      <c r="B21" s="13"/>
      <c r="C21" s="11"/>
      <c r="D21" s="11"/>
      <c r="E21" s="11"/>
    </row>
    <row r="22" spans="1:5" ht="12.75" customHeight="1">
      <c r="A22" s="14"/>
      <c r="B22" s="10"/>
      <c r="C22" s="11"/>
      <c r="D22" s="11"/>
      <c r="E22" s="11">
        <f>(C22*1000)/(1.73*480)</f>
        <v>0</v>
      </c>
    </row>
    <row r="23" spans="1:5" ht="12.75" customHeight="1">
      <c r="A23" s="6"/>
      <c r="B23" s="10"/>
      <c r="C23" s="11"/>
      <c r="D23" s="11"/>
      <c r="E23" s="11"/>
    </row>
    <row r="24" spans="1:5" ht="12.75" customHeight="1">
      <c r="A24" s="15" t="s">
        <v>7</v>
      </c>
      <c r="B24" s="16"/>
      <c r="C24" s="17"/>
      <c r="D24" s="17"/>
      <c r="E24" s="18">
        <f>SUM(E15:E22)</f>
        <v>0</v>
      </c>
    </row>
    <row r="25" spans="1:5" ht="12.75" customHeight="1">
      <c r="A25" s="19" t="s">
        <v>8</v>
      </c>
      <c r="B25" s="16"/>
      <c r="C25" s="17"/>
      <c r="D25" s="17"/>
      <c r="E25" s="18">
        <f>MAX(E15:E19)*0.25</f>
        <v>0</v>
      </c>
    </row>
    <row r="26" spans="1:5" ht="12.75" customHeight="1">
      <c r="A26" s="15" t="s">
        <v>9</v>
      </c>
      <c r="B26" s="16"/>
      <c r="C26" s="17"/>
      <c r="D26" s="17"/>
      <c r="E26" s="18">
        <f>SUM(E24:E25)</f>
        <v>0</v>
      </c>
    </row>
    <row r="27" spans="1:5" ht="12.75" customHeight="1">
      <c r="A27" s="20" t="s">
        <v>46</v>
      </c>
      <c r="B27" s="21"/>
      <c r="C27" s="21"/>
      <c r="D27" s="21"/>
      <c r="E27" s="22"/>
    </row>
    <row r="29" spans="1:4" ht="12.75" customHeight="1">
      <c r="A29" s="173" t="s">
        <v>10</v>
      </c>
      <c r="B29" s="173"/>
      <c r="C29" s="173"/>
      <c r="D29" s="173"/>
    </row>
    <row r="30" spans="3:6" ht="12.75" customHeight="1">
      <c r="C30" s="5"/>
      <c r="D30" s="5"/>
      <c r="E30" s="5"/>
      <c r="F30" s="5"/>
    </row>
    <row r="31" spans="1:10" ht="12.75" customHeight="1">
      <c r="A31" s="6" t="s">
        <v>49</v>
      </c>
      <c r="B31" s="7" t="s">
        <v>4</v>
      </c>
      <c r="C31" s="7" t="s">
        <v>5</v>
      </c>
      <c r="D31" s="7" t="s">
        <v>6</v>
      </c>
      <c r="E31" s="52" t="s">
        <v>61</v>
      </c>
      <c r="F31" s="52" t="s">
        <v>6</v>
      </c>
      <c r="G31" s="53"/>
      <c r="H31" s="52" t="s">
        <v>62</v>
      </c>
      <c r="I31" s="53"/>
      <c r="J31" s="52" t="s">
        <v>63</v>
      </c>
    </row>
    <row r="32" spans="1:5" ht="12.75" customHeight="1">
      <c r="A32" s="12"/>
      <c r="B32" s="11"/>
      <c r="C32" s="11"/>
      <c r="D32" s="11"/>
      <c r="E32" s="1"/>
    </row>
    <row r="33" spans="1:5" ht="12.75" customHeight="1">
      <c r="A33" s="7" t="s">
        <v>95</v>
      </c>
      <c r="B33" s="11"/>
      <c r="C33" s="11"/>
      <c r="D33" s="11"/>
      <c r="E33" s="1"/>
    </row>
    <row r="34" spans="1:10" ht="12.75" customHeight="1">
      <c r="A34" s="6" t="s">
        <v>186</v>
      </c>
      <c r="B34" s="11"/>
      <c r="C34" s="11">
        <v>10</v>
      </c>
      <c r="D34" s="11">
        <f aca="true" t="shared" si="0" ref="D34:D39">F34</f>
        <v>14</v>
      </c>
      <c r="E34" s="1" t="s">
        <v>60</v>
      </c>
      <c r="F34" s="2">
        <f aca="true" t="shared" si="1" ref="F34:F39">(((INDEX($C$60:$C$87,MATCH(C34,$B$60:$B$87,1)+1))-(VLOOKUP(C34,FLA_Table,2,TRUE)))/((INDEX($B$60:$B$87,MATCH(C34,$B$60:$B$87,1)+1))-(VLOOKUP(C34,FLA_Table,1,TRUE))))*(C34-VLOOKUP(C34,FLA_Table,1,TRUE))+VLOOKUP(C34,FLA_Table,2,TRUE)</f>
        <v>14</v>
      </c>
      <c r="H34" s="2">
        <f aca="true" t="shared" si="2" ref="H34:H39">IF(C34=VLOOKUP(C34,FLA_Table,1,TRUE),IF(OR(E34="y",E34="yes"),VLOOKUP(C34,FLA_Table,4,TRUE),VLOOKUP(C34,FLA_Table,3,TRUE)),IF(OR(E34="y",E34="yes"),INDEX($E$60:$E$87,MATCH(C34,$B$60:$B$87,1)+1),INDEX($D$60:$D$87,MATCH(C34,$B$60:$B$87,1)+1)))</f>
        <v>30</v>
      </c>
      <c r="J34" s="2" t="str">
        <f aca="true" t="shared" si="3" ref="J34:J39">VLOOKUP(C34,FLA_Table,5,TRUE)</f>
        <v>3 #12 W/ #12 GND</v>
      </c>
    </row>
    <row r="35" spans="1:10" ht="12.75" customHeight="1">
      <c r="A35" s="6" t="s">
        <v>187</v>
      </c>
      <c r="B35" s="11"/>
      <c r="C35" s="11">
        <v>10</v>
      </c>
      <c r="D35" s="11">
        <f t="shared" si="0"/>
        <v>14</v>
      </c>
      <c r="E35" s="1" t="s">
        <v>60</v>
      </c>
      <c r="F35" s="2">
        <f t="shared" si="1"/>
        <v>14</v>
      </c>
      <c r="H35" s="2">
        <f t="shared" si="2"/>
        <v>30</v>
      </c>
      <c r="J35" s="2" t="str">
        <f t="shared" si="3"/>
        <v>3 #12 W/ #12 GND</v>
      </c>
    </row>
    <row r="36" spans="1:10" ht="12.75" customHeight="1">
      <c r="A36" s="6" t="s">
        <v>188</v>
      </c>
      <c r="B36" s="11"/>
      <c r="C36" s="11">
        <v>40</v>
      </c>
      <c r="D36" s="11">
        <f t="shared" si="0"/>
        <v>52</v>
      </c>
      <c r="E36" s="1" t="s">
        <v>60</v>
      </c>
      <c r="F36" s="2">
        <f t="shared" si="1"/>
        <v>52</v>
      </c>
      <c r="H36" s="2">
        <f t="shared" si="2"/>
        <v>100</v>
      </c>
      <c r="J36" s="2" t="str">
        <f t="shared" si="3"/>
        <v>3 #6 W/ #8 GND</v>
      </c>
    </row>
    <row r="37" spans="1:10" ht="12.75" customHeight="1">
      <c r="A37" s="6" t="s">
        <v>197</v>
      </c>
      <c r="B37" s="11"/>
      <c r="C37" s="11">
        <v>0.5</v>
      </c>
      <c r="D37" s="11">
        <f t="shared" si="0"/>
        <v>1.1</v>
      </c>
      <c r="E37" s="1" t="s">
        <v>60</v>
      </c>
      <c r="F37" s="2">
        <f t="shared" si="1"/>
        <v>1.1</v>
      </c>
      <c r="H37" s="2">
        <f t="shared" si="2"/>
        <v>3</v>
      </c>
      <c r="J37" s="2" t="str">
        <f t="shared" si="3"/>
        <v>3 #12 W/ #12 GND</v>
      </c>
    </row>
    <row r="38" spans="1:10" ht="12.75" customHeight="1">
      <c r="A38" s="6" t="s">
        <v>198</v>
      </c>
      <c r="B38" s="11"/>
      <c r="C38" s="11">
        <v>0.5</v>
      </c>
      <c r="D38" s="11">
        <f t="shared" si="0"/>
        <v>1.1</v>
      </c>
      <c r="E38" s="1" t="s">
        <v>60</v>
      </c>
      <c r="F38" s="2">
        <f t="shared" si="1"/>
        <v>1.1</v>
      </c>
      <c r="H38" s="2">
        <f t="shared" si="2"/>
        <v>3</v>
      </c>
      <c r="J38" s="2" t="str">
        <f t="shared" si="3"/>
        <v>3 #12 W/ #12 GND</v>
      </c>
    </row>
    <row r="39" spans="1:10" ht="12.75" customHeight="1">
      <c r="A39" s="6" t="s">
        <v>199</v>
      </c>
      <c r="B39" s="11"/>
      <c r="C39" s="11">
        <v>0.5</v>
      </c>
      <c r="D39" s="11">
        <f t="shared" si="0"/>
        <v>1.1</v>
      </c>
      <c r="E39" s="1" t="s">
        <v>60</v>
      </c>
      <c r="F39" s="2">
        <f t="shared" si="1"/>
        <v>1.1</v>
      </c>
      <c r="H39" s="2">
        <f t="shared" si="2"/>
        <v>3</v>
      </c>
      <c r="J39" s="2" t="str">
        <f t="shared" si="3"/>
        <v>3 #12 W/ #12 GND</v>
      </c>
    </row>
    <row r="40" spans="1:4" ht="12.75" customHeight="1">
      <c r="A40" s="6"/>
      <c r="B40" s="11"/>
      <c r="C40" s="11"/>
      <c r="D40" s="11"/>
    </row>
    <row r="41" spans="1:4" ht="12.75" customHeight="1">
      <c r="A41" s="7" t="s">
        <v>50</v>
      </c>
      <c r="B41" s="11"/>
      <c r="C41" s="11"/>
      <c r="D41" s="11"/>
    </row>
    <row r="42" spans="1:4" ht="12.75" customHeight="1">
      <c r="A42" s="14" t="s">
        <v>196</v>
      </c>
      <c r="B42" s="11"/>
      <c r="C42" s="11"/>
      <c r="D42" s="11">
        <f>(B42*1000)/(480*1.73)</f>
        <v>0</v>
      </c>
    </row>
    <row r="43" spans="1:4" ht="12.75" customHeight="1">
      <c r="A43" s="14"/>
      <c r="B43" s="11"/>
      <c r="C43" s="11"/>
      <c r="D43" s="11">
        <f aca="true" t="shared" si="4" ref="D43:D48">(B43*1000)/(480*1.73)</f>
        <v>0</v>
      </c>
    </row>
    <row r="44" spans="1:4" ht="12.75" customHeight="1">
      <c r="A44" s="14"/>
      <c r="B44" s="11"/>
      <c r="C44" s="11"/>
      <c r="D44" s="11">
        <f t="shared" si="4"/>
        <v>0</v>
      </c>
    </row>
    <row r="45" spans="1:4" ht="12.75" customHeight="1">
      <c r="A45" s="14"/>
      <c r="B45" s="11"/>
      <c r="C45" s="11"/>
      <c r="D45" s="11">
        <f t="shared" si="4"/>
        <v>0</v>
      </c>
    </row>
    <row r="46" spans="1:4" ht="12.75" customHeight="1">
      <c r="A46" s="14"/>
      <c r="B46" s="11"/>
      <c r="C46" s="11"/>
      <c r="D46" s="11">
        <f t="shared" si="4"/>
        <v>0</v>
      </c>
    </row>
    <row r="47" spans="1:4" ht="12.75" customHeight="1">
      <c r="A47" s="14"/>
      <c r="B47" s="11"/>
      <c r="C47" s="11"/>
      <c r="D47" s="11">
        <f t="shared" si="4"/>
        <v>0</v>
      </c>
    </row>
    <row r="48" spans="2:4" ht="12.75" customHeight="1">
      <c r="B48" s="11"/>
      <c r="C48" s="11"/>
      <c r="D48" s="11">
        <f t="shared" si="4"/>
        <v>0</v>
      </c>
    </row>
    <row r="49" spans="1:4" ht="12.75" customHeight="1">
      <c r="A49" s="6"/>
      <c r="B49" s="11"/>
      <c r="C49" s="11"/>
      <c r="D49" s="11"/>
    </row>
    <row r="50" spans="1:4" ht="12.75" customHeight="1">
      <c r="A50" s="15" t="s">
        <v>7</v>
      </c>
      <c r="B50" s="16"/>
      <c r="C50" s="17"/>
      <c r="D50" s="18">
        <f>SUM(D34:D42)</f>
        <v>83.29999999999998</v>
      </c>
    </row>
    <row r="51" spans="1:4" ht="12.75" customHeight="1">
      <c r="A51" s="19" t="s">
        <v>8</v>
      </c>
      <c r="B51" s="16"/>
      <c r="C51" s="17"/>
      <c r="D51" s="18">
        <f>MAX(D34:D38)*0.25</f>
        <v>13</v>
      </c>
    </row>
    <row r="52" spans="1:4" ht="12.75" customHeight="1">
      <c r="A52" s="15" t="s">
        <v>9</v>
      </c>
      <c r="B52" s="16"/>
      <c r="C52" s="17"/>
      <c r="D52" s="18">
        <f>SUM(D50:D51)</f>
        <v>96.29999999999998</v>
      </c>
    </row>
    <row r="53" spans="1:4" ht="12.75" customHeight="1">
      <c r="A53" s="20" t="s">
        <v>48</v>
      </c>
      <c r="B53" s="21"/>
      <c r="C53" s="21"/>
      <c r="D53" s="22">
        <v>600</v>
      </c>
    </row>
    <row r="58" spans="2:22" ht="12.75" customHeight="1">
      <c r="B58" s="174" t="s">
        <v>11</v>
      </c>
      <c r="C58" s="175"/>
      <c r="D58" s="175"/>
      <c r="E58" s="175"/>
      <c r="F58" s="176"/>
      <c r="G58" s="49"/>
      <c r="H58" s="40"/>
      <c r="I58" s="28"/>
      <c r="K58" s="174" t="s">
        <v>83</v>
      </c>
      <c r="L58" s="176"/>
      <c r="N58" s="56" t="s">
        <v>96</v>
      </c>
      <c r="O58" s="57" t="s">
        <v>97</v>
      </c>
      <c r="P58" s="57" t="s">
        <v>98</v>
      </c>
      <c r="Q58" s="166"/>
      <c r="R58" s="58" t="s">
        <v>99</v>
      </c>
      <c r="S58" s="55" t="s">
        <v>100</v>
      </c>
      <c r="T58" s="55" t="s">
        <v>101</v>
      </c>
      <c r="U58" s="55" t="s">
        <v>102</v>
      </c>
      <c r="V58" s="54" t="s">
        <v>103</v>
      </c>
    </row>
    <row r="59" spans="2:22" ht="12.75" customHeight="1">
      <c r="B59" s="7" t="s">
        <v>12</v>
      </c>
      <c r="C59" s="7" t="s">
        <v>13</v>
      </c>
      <c r="D59" s="7" t="s">
        <v>58</v>
      </c>
      <c r="E59" s="7" t="s">
        <v>59</v>
      </c>
      <c r="F59" s="7" t="s">
        <v>66</v>
      </c>
      <c r="H59" s="51"/>
      <c r="I59" s="5"/>
      <c r="K59" s="7" t="s">
        <v>82</v>
      </c>
      <c r="L59" s="41" t="s">
        <v>66</v>
      </c>
      <c r="N59" s="160" t="s">
        <v>104</v>
      </c>
      <c r="O59" s="162" t="s">
        <v>108</v>
      </c>
      <c r="P59" s="169" t="s">
        <v>107</v>
      </c>
      <c r="Q59" s="167"/>
      <c r="R59" s="158"/>
      <c r="S59" s="158"/>
      <c r="T59" s="158"/>
      <c r="U59" s="158"/>
      <c r="V59" s="158">
        <f>IF(ISERROR(IF(U59=1,(R59*1000)/(S59*T59),(R59*1000)/(S59*T59*SQRT(3)))),"",IF(U59=1,(R59*1000)/(S59*T59),(R59*1000)/(S59*T59*SQRT(3))))</f>
      </c>
    </row>
    <row r="60" spans="2:22" ht="12.75" customHeight="1">
      <c r="B60" s="6">
        <v>0</v>
      </c>
      <c r="C60" s="6">
        <v>0</v>
      </c>
      <c r="D60" s="6">
        <v>0</v>
      </c>
      <c r="E60" s="6">
        <v>0</v>
      </c>
      <c r="F60" s="6" t="s">
        <v>64</v>
      </c>
      <c r="H60" s="40"/>
      <c r="I60" s="5"/>
      <c r="K60" s="25">
        <v>25</v>
      </c>
      <c r="L60" s="6" t="s">
        <v>64</v>
      </c>
      <c r="N60" s="161"/>
      <c r="O60" s="163"/>
      <c r="P60" s="170"/>
      <c r="Q60" s="167"/>
      <c r="R60" s="159"/>
      <c r="S60" s="159"/>
      <c r="T60" s="159"/>
      <c r="U60" s="159"/>
      <c r="V60" s="159"/>
    </row>
    <row r="61" spans="2:22" ht="12.75" customHeight="1">
      <c r="B61" s="6">
        <v>0.5</v>
      </c>
      <c r="C61" s="6">
        <v>1.1</v>
      </c>
      <c r="D61" s="6">
        <v>3</v>
      </c>
      <c r="E61" s="6">
        <v>15</v>
      </c>
      <c r="F61" s="6" t="s">
        <v>64</v>
      </c>
      <c r="H61" s="40"/>
      <c r="I61" s="5"/>
      <c r="K61" s="25">
        <v>30</v>
      </c>
      <c r="L61" s="6" t="s">
        <v>65</v>
      </c>
      <c r="N61" s="160" t="s">
        <v>105</v>
      </c>
      <c r="O61" s="162" t="s">
        <v>110</v>
      </c>
      <c r="P61" s="162" t="s">
        <v>109</v>
      </c>
      <c r="Q61" s="167"/>
      <c r="R61" s="158"/>
      <c r="S61" s="158"/>
      <c r="T61" s="164" t="s">
        <v>106</v>
      </c>
      <c r="U61" s="158"/>
      <c r="V61" s="158">
        <f>IF(ISERROR(IF(U61=1,(R61*1000)/(S61),(R61*1000)/(S61*SQRT(3)))),"",IF(U61=1,(R61*1000)/(S61),(R61*1000)/(S61*SQRT(3))))</f>
      </c>
    </row>
    <row r="62" spans="2:22" ht="12.75" customHeight="1">
      <c r="B62" s="6">
        <v>0.75</v>
      </c>
      <c r="C62" s="6">
        <v>1.6</v>
      </c>
      <c r="D62" s="6">
        <v>3</v>
      </c>
      <c r="E62" s="6">
        <v>15</v>
      </c>
      <c r="F62" s="6" t="s">
        <v>64</v>
      </c>
      <c r="H62" s="40"/>
      <c r="I62" s="5"/>
      <c r="K62" s="25">
        <v>40</v>
      </c>
      <c r="L62" s="6" t="s">
        <v>67</v>
      </c>
      <c r="N62" s="161"/>
      <c r="O62" s="163"/>
      <c r="P62" s="163"/>
      <c r="Q62" s="168"/>
      <c r="R62" s="159"/>
      <c r="S62" s="159"/>
      <c r="T62" s="165"/>
      <c r="U62" s="159"/>
      <c r="V62" s="159"/>
    </row>
    <row r="63" spans="2:12" ht="12.75" customHeight="1">
      <c r="B63" s="6">
        <v>1</v>
      </c>
      <c r="C63" s="6">
        <v>2.1</v>
      </c>
      <c r="D63" s="6">
        <v>3</v>
      </c>
      <c r="E63" s="6">
        <v>15</v>
      </c>
      <c r="F63" s="6" t="s">
        <v>64</v>
      </c>
      <c r="H63" s="40"/>
      <c r="I63" s="5"/>
      <c r="K63" s="25">
        <v>55</v>
      </c>
      <c r="L63" s="6" t="s">
        <v>85</v>
      </c>
    </row>
    <row r="64" spans="2:12" ht="12.75" customHeight="1">
      <c r="B64" s="6">
        <v>1.5</v>
      </c>
      <c r="C64" s="6">
        <v>3</v>
      </c>
      <c r="D64" s="6">
        <v>7</v>
      </c>
      <c r="E64" s="6">
        <v>15</v>
      </c>
      <c r="F64" s="6" t="s">
        <v>64</v>
      </c>
      <c r="H64" s="40"/>
      <c r="I64" s="5"/>
      <c r="K64" s="25">
        <v>70</v>
      </c>
      <c r="L64" s="6" t="s">
        <v>69</v>
      </c>
    </row>
    <row r="65" spans="2:12" ht="12.75" customHeight="1">
      <c r="B65" s="6">
        <v>2</v>
      </c>
      <c r="C65" s="6">
        <v>3.4</v>
      </c>
      <c r="D65" s="6">
        <v>7</v>
      </c>
      <c r="E65" s="6">
        <v>15</v>
      </c>
      <c r="F65" s="6" t="s">
        <v>64</v>
      </c>
      <c r="H65" s="40"/>
      <c r="I65" s="5"/>
      <c r="K65" s="25">
        <v>100</v>
      </c>
      <c r="L65" s="6" t="s">
        <v>70</v>
      </c>
    </row>
    <row r="66" spans="2:12" ht="12.75" customHeight="1">
      <c r="B66" s="6">
        <v>3</v>
      </c>
      <c r="C66" s="6">
        <v>4.8</v>
      </c>
      <c r="D66" s="6">
        <v>10</v>
      </c>
      <c r="E66" s="6">
        <v>15</v>
      </c>
      <c r="F66" s="6" t="s">
        <v>64</v>
      </c>
      <c r="H66" s="40"/>
      <c r="I66" s="5"/>
      <c r="K66" s="25">
        <v>115</v>
      </c>
      <c r="L66" s="6" t="s">
        <v>84</v>
      </c>
    </row>
    <row r="67" spans="2:12" ht="12.75" customHeight="1">
      <c r="B67" s="6">
        <v>5</v>
      </c>
      <c r="C67" s="6">
        <v>7.6</v>
      </c>
      <c r="D67" s="6">
        <v>15</v>
      </c>
      <c r="E67" s="6">
        <v>15</v>
      </c>
      <c r="F67" s="6" t="s">
        <v>64</v>
      </c>
      <c r="H67" s="40"/>
      <c r="I67" s="5"/>
      <c r="K67" s="25">
        <v>130</v>
      </c>
      <c r="L67" s="6" t="s">
        <v>71</v>
      </c>
    </row>
    <row r="68" spans="2:12" ht="12.75" customHeight="1">
      <c r="B68" s="6">
        <v>7.5</v>
      </c>
      <c r="C68" s="6">
        <v>11</v>
      </c>
      <c r="D68" s="6">
        <v>20</v>
      </c>
      <c r="E68" s="6">
        <v>15</v>
      </c>
      <c r="F68" s="6" t="s">
        <v>64</v>
      </c>
      <c r="H68" s="40"/>
      <c r="I68" s="5"/>
      <c r="K68" s="25">
        <v>150</v>
      </c>
      <c r="L68" s="6" t="s">
        <v>86</v>
      </c>
    </row>
    <row r="69" spans="2:12" ht="12.75" customHeight="1">
      <c r="B69" s="6">
        <v>10</v>
      </c>
      <c r="C69" s="6">
        <v>14</v>
      </c>
      <c r="D69" s="6">
        <v>30</v>
      </c>
      <c r="E69" s="6">
        <v>20</v>
      </c>
      <c r="F69" s="6" t="s">
        <v>64</v>
      </c>
      <c r="H69" s="40"/>
      <c r="I69" s="5"/>
      <c r="K69" s="25">
        <v>175</v>
      </c>
      <c r="L69" s="6" t="s">
        <v>72</v>
      </c>
    </row>
    <row r="70" spans="2:12" ht="12.75" customHeight="1">
      <c r="B70" s="6">
        <v>15</v>
      </c>
      <c r="C70" s="6">
        <v>21</v>
      </c>
      <c r="D70" s="6">
        <v>40</v>
      </c>
      <c r="E70" s="6">
        <v>30</v>
      </c>
      <c r="F70" s="6" t="s">
        <v>65</v>
      </c>
      <c r="H70" s="40"/>
      <c r="I70" s="5"/>
      <c r="K70" s="25">
        <v>200</v>
      </c>
      <c r="L70" s="6" t="s">
        <v>73</v>
      </c>
    </row>
    <row r="71" spans="2:12" ht="12.75" customHeight="1">
      <c r="B71" s="6">
        <v>20</v>
      </c>
      <c r="C71" s="6">
        <v>27</v>
      </c>
      <c r="D71" s="6">
        <v>50</v>
      </c>
      <c r="E71" s="6">
        <v>40</v>
      </c>
      <c r="F71" s="6" t="s">
        <v>65</v>
      </c>
      <c r="H71" s="40"/>
      <c r="I71" s="5"/>
      <c r="K71" s="25">
        <v>230</v>
      </c>
      <c r="L71" s="6" t="s">
        <v>74</v>
      </c>
    </row>
    <row r="72" spans="2:12" ht="12.75" customHeight="1">
      <c r="B72" s="6">
        <v>25</v>
      </c>
      <c r="C72" s="6">
        <v>34</v>
      </c>
      <c r="D72" s="6">
        <v>50</v>
      </c>
      <c r="E72" s="6">
        <v>50</v>
      </c>
      <c r="F72" s="6" t="s">
        <v>67</v>
      </c>
      <c r="H72" s="40"/>
      <c r="I72" s="5"/>
      <c r="K72" s="25">
        <v>255</v>
      </c>
      <c r="L72" s="6" t="s">
        <v>87</v>
      </c>
    </row>
    <row r="73" spans="2:12" ht="12.75" customHeight="1">
      <c r="B73" s="6">
        <v>30</v>
      </c>
      <c r="C73" s="6">
        <v>40</v>
      </c>
      <c r="D73" s="6">
        <v>70</v>
      </c>
      <c r="E73" s="6">
        <v>60</v>
      </c>
      <c r="F73" s="6" t="s">
        <v>67</v>
      </c>
      <c r="H73" s="40"/>
      <c r="I73" s="5"/>
      <c r="K73" s="25">
        <v>285</v>
      </c>
      <c r="L73" s="6" t="s">
        <v>87</v>
      </c>
    </row>
    <row r="74" spans="2:12" ht="12.75" customHeight="1">
      <c r="B74" s="6">
        <v>40</v>
      </c>
      <c r="C74" s="6">
        <v>52</v>
      </c>
      <c r="D74" s="6">
        <v>100</v>
      </c>
      <c r="E74" s="6">
        <v>80</v>
      </c>
      <c r="F74" s="6" t="s">
        <v>68</v>
      </c>
      <c r="H74" s="40"/>
      <c r="I74" s="5"/>
      <c r="K74" s="25">
        <v>310</v>
      </c>
      <c r="L74" s="6" t="s">
        <v>75</v>
      </c>
    </row>
    <row r="75" spans="2:12" ht="12.75" customHeight="1">
      <c r="B75" s="6">
        <v>50</v>
      </c>
      <c r="C75" s="6">
        <v>65</v>
      </c>
      <c r="D75" s="6">
        <v>150</v>
      </c>
      <c r="E75" s="6">
        <v>100</v>
      </c>
      <c r="F75" s="6" t="s">
        <v>69</v>
      </c>
      <c r="H75" s="40"/>
      <c r="I75" s="5"/>
      <c r="K75" s="25">
        <v>335</v>
      </c>
      <c r="L75" s="6" t="s">
        <v>88</v>
      </c>
    </row>
    <row r="76" spans="2:12" ht="12.75" customHeight="1">
      <c r="B76" s="6">
        <v>60</v>
      </c>
      <c r="C76" s="6">
        <v>77</v>
      </c>
      <c r="D76" s="6">
        <v>200</v>
      </c>
      <c r="E76" s="6">
        <v>125</v>
      </c>
      <c r="F76" s="6" t="s">
        <v>70</v>
      </c>
      <c r="H76" s="50"/>
      <c r="K76" s="25">
        <v>380</v>
      </c>
      <c r="L76" s="6" t="s">
        <v>76</v>
      </c>
    </row>
    <row r="77" spans="2:12" ht="12.75" customHeight="1">
      <c r="B77" s="6">
        <v>75</v>
      </c>
      <c r="C77" s="6">
        <v>96</v>
      </c>
      <c r="D77" s="6">
        <v>200</v>
      </c>
      <c r="E77" s="6">
        <v>150</v>
      </c>
      <c r="F77" s="6" t="s">
        <v>71</v>
      </c>
      <c r="K77" s="6">
        <v>400</v>
      </c>
      <c r="L77" s="6" t="s">
        <v>89</v>
      </c>
    </row>
    <row r="78" spans="2:12" ht="12.75" customHeight="1">
      <c r="B78" s="6">
        <v>100</v>
      </c>
      <c r="C78" s="6">
        <v>124</v>
      </c>
      <c r="D78" s="6">
        <v>200</v>
      </c>
      <c r="E78" s="6">
        <v>200</v>
      </c>
      <c r="F78" s="6" t="s">
        <v>72</v>
      </c>
      <c r="K78" s="6">
        <v>500</v>
      </c>
      <c r="L78" s="6" t="s">
        <v>89</v>
      </c>
    </row>
    <row r="79" spans="2:12" ht="12.75" customHeight="1">
      <c r="B79" s="6">
        <v>125</v>
      </c>
      <c r="C79" s="6">
        <v>156</v>
      </c>
      <c r="D79" s="6">
        <v>250</v>
      </c>
      <c r="E79" s="6">
        <v>250</v>
      </c>
      <c r="F79" s="6" t="s">
        <v>73</v>
      </c>
      <c r="K79" s="6">
        <v>600</v>
      </c>
      <c r="L79" s="6" t="s">
        <v>90</v>
      </c>
    </row>
    <row r="80" spans="2:12" ht="12.75" customHeight="1">
      <c r="B80" s="6">
        <v>150</v>
      </c>
      <c r="C80" s="6">
        <v>180</v>
      </c>
      <c r="D80" s="6">
        <v>300</v>
      </c>
      <c r="E80" s="6">
        <v>300</v>
      </c>
      <c r="F80" s="6" t="s">
        <v>74</v>
      </c>
      <c r="K80" s="6">
        <v>800</v>
      </c>
      <c r="L80" s="6" t="s">
        <v>91</v>
      </c>
    </row>
    <row r="81" spans="2:12" ht="12.75" customHeight="1">
      <c r="B81" s="6">
        <v>200</v>
      </c>
      <c r="C81" s="6">
        <v>240</v>
      </c>
      <c r="D81" s="6">
        <v>400</v>
      </c>
      <c r="E81" s="6">
        <v>400</v>
      </c>
      <c r="F81" s="6" t="s">
        <v>75</v>
      </c>
      <c r="K81" s="6">
        <v>1000</v>
      </c>
      <c r="L81" s="6" t="s">
        <v>92</v>
      </c>
    </row>
    <row r="82" spans="2:12" ht="12.75" customHeight="1">
      <c r="B82" s="6">
        <v>250</v>
      </c>
      <c r="C82" s="6">
        <v>302</v>
      </c>
      <c r="D82" s="6">
        <v>500</v>
      </c>
      <c r="E82" s="6">
        <v>500</v>
      </c>
      <c r="F82" s="6" t="s">
        <v>76</v>
      </c>
      <c r="K82" s="6">
        <v>1200</v>
      </c>
      <c r="L82" s="6" t="s">
        <v>93</v>
      </c>
    </row>
    <row r="83" spans="2:12" ht="12.75" customHeight="1">
      <c r="B83" s="6">
        <v>300</v>
      </c>
      <c r="C83" s="6">
        <v>361</v>
      </c>
      <c r="D83" s="6">
        <v>600</v>
      </c>
      <c r="E83" s="6">
        <v>600</v>
      </c>
      <c r="F83" s="6" t="s">
        <v>77</v>
      </c>
      <c r="K83" s="6">
        <v>1600</v>
      </c>
      <c r="L83" s="6" t="s">
        <v>94</v>
      </c>
    </row>
    <row r="84" spans="2:6" ht="12.75" customHeight="1">
      <c r="B84" s="6">
        <v>350</v>
      </c>
      <c r="C84" s="6">
        <v>414</v>
      </c>
      <c r="D84" s="6">
        <v>700</v>
      </c>
      <c r="E84" s="6">
        <v>700</v>
      </c>
      <c r="F84" s="6" t="s">
        <v>78</v>
      </c>
    </row>
    <row r="85" spans="2:6" ht="12.75" customHeight="1">
      <c r="B85" s="6">
        <v>400</v>
      </c>
      <c r="C85" s="6">
        <v>477</v>
      </c>
      <c r="D85" s="6">
        <v>800</v>
      </c>
      <c r="E85" s="6">
        <v>800</v>
      </c>
      <c r="F85" s="6" t="s">
        <v>79</v>
      </c>
    </row>
    <row r="86" spans="2:6" ht="12.75" customHeight="1">
      <c r="B86" s="6">
        <v>450</v>
      </c>
      <c r="C86" s="6">
        <v>515</v>
      </c>
      <c r="D86" s="6">
        <v>900</v>
      </c>
      <c r="E86" s="6">
        <v>900</v>
      </c>
      <c r="F86" s="6" t="s">
        <v>80</v>
      </c>
    </row>
    <row r="87" spans="2:6" ht="12.75" customHeight="1">
      <c r="B87" s="6">
        <v>500</v>
      </c>
      <c r="C87" s="6">
        <v>590</v>
      </c>
      <c r="D87" s="6">
        <v>1000</v>
      </c>
      <c r="E87" s="6">
        <v>1000</v>
      </c>
      <c r="F87" s="6" t="s">
        <v>81</v>
      </c>
    </row>
  </sheetData>
  <sheetProtection/>
  <mergeCells count="23">
    <mergeCell ref="B3:E3"/>
    <mergeCell ref="B4:E4"/>
    <mergeCell ref="A8:E8"/>
    <mergeCell ref="A29:D29"/>
    <mergeCell ref="B58:F58"/>
    <mergeCell ref="K58:L58"/>
    <mergeCell ref="U61:U62"/>
    <mergeCell ref="Q58:Q62"/>
    <mergeCell ref="N59:N60"/>
    <mergeCell ref="O59:O60"/>
    <mergeCell ref="P59:P60"/>
    <mergeCell ref="R59:R60"/>
    <mergeCell ref="S59:S60"/>
    <mergeCell ref="V61:V62"/>
    <mergeCell ref="T59:T60"/>
    <mergeCell ref="U59:U60"/>
    <mergeCell ref="V59:V60"/>
    <mergeCell ref="N61:N62"/>
    <mergeCell ref="O61:O62"/>
    <mergeCell ref="P61:P62"/>
    <mergeCell ref="R61:R62"/>
    <mergeCell ref="S61:S62"/>
    <mergeCell ref="T61:T62"/>
  </mergeCell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V96"/>
  <sheetViews>
    <sheetView zoomScalePageLayoutView="0" workbookViewId="0" topLeftCell="A31">
      <selection activeCell="A57" sqref="A57:D57"/>
    </sheetView>
  </sheetViews>
  <sheetFormatPr defaultColWidth="9.7109375" defaultRowHeight="12.75" customHeight="1"/>
  <cols>
    <col min="1" max="1" width="45.140625" style="2" customWidth="1"/>
    <col min="2" max="2" width="12.00390625" style="2" customWidth="1"/>
    <col min="3" max="3" width="8.7109375" style="2" customWidth="1"/>
    <col min="4" max="4" width="6.57421875" style="2" customWidth="1"/>
    <col min="5" max="5" width="12.7109375" style="2" customWidth="1"/>
    <col min="6" max="6" width="26.00390625" style="2" customWidth="1"/>
    <col min="7" max="7" width="10.7109375" style="2" customWidth="1"/>
    <col min="8" max="8" width="17.00390625" style="2" customWidth="1"/>
    <col min="9" max="9" width="10.7109375" style="2" customWidth="1"/>
    <col min="10" max="10" width="16.8515625" style="2" customWidth="1"/>
    <col min="11" max="11" width="9.7109375" style="2" customWidth="1"/>
    <col min="12" max="12" width="26.00390625" style="2" customWidth="1"/>
    <col min="13" max="14" width="25.8515625" style="2" customWidth="1"/>
    <col min="15" max="16" width="9.7109375" style="2" customWidth="1"/>
    <col min="17" max="17" width="3.28125" style="2" customWidth="1"/>
    <col min="18" max="19" width="9.7109375" style="2" customWidth="1"/>
    <col min="20" max="21" width="14.00390625" style="2" customWidth="1"/>
    <col min="22" max="16384" width="9.7109375" style="2" customWidth="1"/>
  </cols>
  <sheetData>
    <row r="3" spans="1:5" ht="12.75" customHeight="1">
      <c r="A3" s="3" t="s">
        <v>0</v>
      </c>
      <c r="B3" s="171" t="str">
        <f ca="1">MID(CELL("filename"),SEARCH("[",CELL("filename"))+1,SEARCH("]",CELL("filename"))-SEARCH("[",CELL("filename"))-1)</f>
        <v>01 Las Gallinas Electrical Calculations.xls</v>
      </c>
      <c r="C3" s="171"/>
      <c r="D3" s="171"/>
      <c r="E3" s="171"/>
    </row>
    <row r="4" spans="1:5" ht="12.75" customHeight="1">
      <c r="A4" s="3" t="s">
        <v>1</v>
      </c>
      <c r="B4" s="172"/>
      <c r="C4" s="172"/>
      <c r="D4" s="172"/>
      <c r="E4" s="172"/>
    </row>
    <row r="5" ht="12.75" customHeight="1">
      <c r="A5" s="3" t="s">
        <v>2</v>
      </c>
    </row>
    <row r="8" spans="1:5" ht="12.75" customHeight="1">
      <c r="A8" s="173" t="s">
        <v>42</v>
      </c>
      <c r="B8" s="173"/>
      <c r="C8" s="173"/>
      <c r="D8" s="173"/>
      <c r="E8" s="173"/>
    </row>
    <row r="9" spans="1:6" ht="12.75" customHeight="1">
      <c r="A9" s="5"/>
      <c r="B9" s="5"/>
      <c r="C9" s="5"/>
      <c r="D9" s="5"/>
      <c r="E9" s="5"/>
      <c r="F9" s="5"/>
    </row>
    <row r="10" spans="1:5" ht="12.75" customHeight="1">
      <c r="A10" s="6" t="s">
        <v>3</v>
      </c>
      <c r="B10" s="7" t="s">
        <v>43</v>
      </c>
      <c r="C10" s="7" t="s">
        <v>4</v>
      </c>
      <c r="D10" s="7" t="s">
        <v>5</v>
      </c>
      <c r="E10" s="7" t="s">
        <v>6</v>
      </c>
    </row>
    <row r="11" spans="1:5" ht="12.75" customHeight="1">
      <c r="A11" s="71" t="s">
        <v>44</v>
      </c>
      <c r="B11" s="8"/>
      <c r="C11" s="9"/>
      <c r="D11" s="9"/>
      <c r="E11" s="9"/>
    </row>
    <row r="12" spans="1:5" ht="12.75" customHeight="1">
      <c r="A12" s="14"/>
      <c r="B12" s="8"/>
      <c r="C12" s="9"/>
      <c r="D12" s="9"/>
      <c r="E12" s="9"/>
    </row>
    <row r="13" spans="1:5" ht="12.75" customHeight="1">
      <c r="A13" s="14"/>
      <c r="B13" s="8"/>
      <c r="C13" s="9"/>
      <c r="D13" s="9"/>
      <c r="E13" s="9"/>
    </row>
    <row r="14" spans="1:5" ht="12.75" customHeight="1">
      <c r="A14" s="14"/>
      <c r="B14" s="8"/>
      <c r="C14" s="6"/>
      <c r="D14" s="9"/>
      <c r="E14" s="9"/>
    </row>
    <row r="15" spans="1:5" ht="12.75" customHeight="1">
      <c r="A15" s="14"/>
      <c r="B15" s="8"/>
      <c r="C15" s="6"/>
      <c r="D15" s="9"/>
      <c r="E15" s="9"/>
    </row>
    <row r="16" spans="1:5" ht="12.75" customHeight="1">
      <c r="A16" s="14"/>
      <c r="B16" s="8"/>
      <c r="C16" s="6"/>
      <c r="D16" s="9"/>
      <c r="E16" s="9"/>
    </row>
    <row r="17" spans="1:5" ht="12.75" customHeight="1">
      <c r="A17" s="14"/>
      <c r="B17" s="8"/>
      <c r="C17" s="6"/>
      <c r="D17" s="9"/>
      <c r="E17" s="9"/>
    </row>
    <row r="18" spans="1:5" ht="12.75" customHeight="1">
      <c r="A18" s="14"/>
      <c r="B18" s="8"/>
      <c r="C18" s="6"/>
      <c r="D18" s="9"/>
      <c r="E18" s="11"/>
    </row>
    <row r="19" spans="1:5" ht="12.75" customHeight="1">
      <c r="A19" s="14"/>
      <c r="B19" s="8"/>
      <c r="C19" s="6"/>
      <c r="D19" s="9"/>
      <c r="E19" s="9"/>
    </row>
    <row r="20" spans="1:5" ht="12.75" customHeight="1">
      <c r="A20" s="14"/>
      <c r="B20" s="8"/>
      <c r="C20" s="6"/>
      <c r="D20" s="9"/>
      <c r="E20" s="11"/>
    </row>
    <row r="21" spans="1:5" ht="12.75" customHeight="1">
      <c r="A21" s="14"/>
      <c r="B21" s="8"/>
      <c r="C21" s="6"/>
      <c r="D21" s="9"/>
      <c r="E21" s="9"/>
    </row>
    <row r="22" spans="1:5" ht="12.75" customHeight="1">
      <c r="A22" s="14"/>
      <c r="B22" s="8"/>
      <c r="C22" s="6"/>
      <c r="D22" s="9"/>
      <c r="E22" s="9"/>
    </row>
    <row r="23" spans="1:5" ht="12.75" customHeight="1">
      <c r="A23" s="14"/>
      <c r="B23" s="8"/>
      <c r="C23" s="6"/>
      <c r="D23" s="9"/>
      <c r="E23" s="9"/>
    </row>
    <row r="24" spans="1:5" ht="12.75" customHeight="1">
      <c r="A24" s="14"/>
      <c r="B24" s="8"/>
      <c r="C24" s="6"/>
      <c r="D24" s="9"/>
      <c r="E24" s="9"/>
    </row>
    <row r="25" spans="1:5" ht="12.75" customHeight="1">
      <c r="A25" s="14"/>
      <c r="B25" s="8"/>
      <c r="C25" s="6"/>
      <c r="D25" s="9"/>
      <c r="E25" s="9"/>
    </row>
    <row r="26" spans="1:5" ht="12.75" customHeight="1">
      <c r="A26" s="14"/>
      <c r="B26" s="8"/>
      <c r="C26" s="6"/>
      <c r="D26" s="9"/>
      <c r="E26" s="11"/>
    </row>
    <row r="27" spans="1:5" ht="12.75" customHeight="1">
      <c r="A27" s="14"/>
      <c r="B27" s="8"/>
      <c r="C27" s="6"/>
      <c r="D27" s="9"/>
      <c r="E27" s="11"/>
    </row>
    <row r="28" spans="1:5" ht="12.75" customHeight="1">
      <c r="A28" s="14"/>
      <c r="B28" s="8"/>
      <c r="C28" s="6"/>
      <c r="D28" s="9"/>
      <c r="E28" s="9"/>
    </row>
    <row r="29" spans="1:5" ht="13.5" customHeight="1">
      <c r="A29" s="71" t="s">
        <v>47</v>
      </c>
      <c r="B29" s="13"/>
      <c r="C29" s="11"/>
      <c r="D29" s="11"/>
      <c r="E29" s="11"/>
    </row>
    <row r="30" spans="1:6" ht="12.75" customHeight="1">
      <c r="A30" s="6"/>
      <c r="B30" s="11"/>
      <c r="C30" s="11"/>
      <c r="D30" s="11"/>
      <c r="E30" s="11"/>
      <c r="F30" s="2">
        <f>VLOOKUP(D30,FLA_Table,2,TRUE)</f>
        <v>0</v>
      </c>
    </row>
    <row r="31" spans="1:5" ht="12.75" customHeight="1">
      <c r="A31" s="6"/>
      <c r="B31" s="10"/>
      <c r="C31" s="11"/>
      <c r="D31" s="11"/>
      <c r="E31" s="11"/>
    </row>
    <row r="32" spans="1:5" ht="12.75" customHeight="1">
      <c r="A32" s="71" t="s">
        <v>242</v>
      </c>
      <c r="B32" s="13"/>
      <c r="C32" s="11"/>
      <c r="D32" s="11"/>
      <c r="E32" s="11"/>
    </row>
    <row r="33" spans="1:5" ht="12.75" customHeight="1">
      <c r="A33" s="14"/>
      <c r="B33" s="10"/>
      <c r="C33" s="11"/>
      <c r="D33" s="11"/>
      <c r="E33" s="11"/>
    </row>
    <row r="34" spans="1:5" ht="12.75" customHeight="1">
      <c r="A34" s="14"/>
      <c r="B34" s="10"/>
      <c r="C34" s="11"/>
      <c r="D34" s="11"/>
      <c r="E34" s="11"/>
    </row>
    <row r="35" spans="1:5" ht="12.75" customHeight="1">
      <c r="A35" s="6"/>
      <c r="B35" s="10"/>
      <c r="C35" s="11"/>
      <c r="D35" s="11"/>
      <c r="E35" s="11"/>
    </row>
    <row r="36" spans="1:5" ht="12.75" customHeight="1">
      <c r="A36" s="15" t="s">
        <v>7</v>
      </c>
      <c r="B36" s="16"/>
      <c r="C36" s="17"/>
      <c r="D36" s="17"/>
      <c r="E36" s="18">
        <f>SUM(E12:E34)</f>
        <v>0</v>
      </c>
    </row>
    <row r="37" spans="1:5" ht="12.75" customHeight="1">
      <c r="A37" s="19" t="s">
        <v>8</v>
      </c>
      <c r="B37" s="16"/>
      <c r="C37" s="17"/>
      <c r="D37" s="17"/>
      <c r="E37" s="18">
        <f>MAX(E12:E30)*0.25</f>
        <v>0</v>
      </c>
    </row>
    <row r="38" spans="1:5" ht="12.75" customHeight="1">
      <c r="A38" s="15" t="s">
        <v>9</v>
      </c>
      <c r="B38" s="16"/>
      <c r="C38" s="17"/>
      <c r="D38" s="17"/>
      <c r="E38" s="18">
        <f>SUM(E36:E37)</f>
        <v>0</v>
      </c>
    </row>
    <row r="39" spans="1:5" ht="12.75" customHeight="1">
      <c r="A39" s="20" t="s">
        <v>46</v>
      </c>
      <c r="B39" s="21"/>
      <c r="C39" s="21"/>
      <c r="D39" s="21"/>
      <c r="E39" s="22">
        <v>150</v>
      </c>
    </row>
    <row r="41" spans="1:4" ht="12.75" customHeight="1">
      <c r="A41" s="173" t="s">
        <v>10</v>
      </c>
      <c r="B41" s="173"/>
      <c r="C41" s="173"/>
      <c r="D41" s="173"/>
    </row>
    <row r="42" spans="3:6" ht="12.75" customHeight="1">
      <c r="C42" s="5"/>
      <c r="D42" s="5"/>
      <c r="E42" s="5"/>
      <c r="F42" s="5"/>
    </row>
    <row r="43" spans="1:10" ht="12.75" customHeight="1">
      <c r="A43" s="6" t="s">
        <v>49</v>
      </c>
      <c r="B43" s="7" t="s">
        <v>4</v>
      </c>
      <c r="C43" s="7" t="s">
        <v>5</v>
      </c>
      <c r="D43" s="7" t="s">
        <v>6</v>
      </c>
      <c r="E43" s="52" t="s">
        <v>61</v>
      </c>
      <c r="F43" s="52" t="s">
        <v>6</v>
      </c>
      <c r="G43" s="53"/>
      <c r="H43" s="52" t="s">
        <v>62</v>
      </c>
      <c r="I43" s="53"/>
      <c r="J43" s="52" t="s">
        <v>63</v>
      </c>
    </row>
    <row r="44" spans="1:5" ht="12.75" customHeight="1">
      <c r="A44" s="12"/>
      <c r="B44" s="11"/>
      <c r="C44" s="11"/>
      <c r="D44" s="11"/>
      <c r="E44" s="1"/>
    </row>
    <row r="45" spans="1:5" ht="12.75" customHeight="1">
      <c r="A45" s="7" t="s">
        <v>273</v>
      </c>
      <c r="B45" s="11"/>
      <c r="C45" s="11"/>
      <c r="D45" s="11"/>
      <c r="E45" s="1"/>
    </row>
    <row r="46" spans="1:10" ht="12.75" customHeight="1">
      <c r="A46" s="6" t="s">
        <v>300</v>
      </c>
      <c r="B46" s="11"/>
      <c r="C46" s="11">
        <v>5</v>
      </c>
      <c r="D46" s="11">
        <f aca="true" t="shared" si="0" ref="D46:D53">F46</f>
        <v>7.6</v>
      </c>
      <c r="E46" s="1" t="s">
        <v>60</v>
      </c>
      <c r="F46" s="2">
        <f aca="true" t="shared" si="1" ref="F46:F52">(((INDEX($C$69:$C$96,MATCH(C46,$B$69:$B$96,1)+1))-(VLOOKUP(C46,FLA_Table,2,TRUE)))/((INDEX($B$69:$B$96,MATCH(C46,$B$69:$B$96,1)+1))-(VLOOKUP(C46,FLA_Table,1,TRUE))))*(C46-VLOOKUP(C46,FLA_Table,1,TRUE))+VLOOKUP(C46,FLA_Table,2,TRUE)</f>
        <v>7.6</v>
      </c>
      <c r="H46" s="2">
        <f aca="true" t="shared" si="2" ref="H46:H52">IF(C46=VLOOKUP(C46,FLA_Table,1,TRUE),IF(OR(E46="y",E46="yes"),VLOOKUP(C46,FLA_Table,4,TRUE),VLOOKUP(C46,FLA_Table,3,TRUE)),IF(OR(E46="y",E46="yes"),INDEX($E$69:$E$96,MATCH(C46,$B$69:$B$96,1)+1),INDEX($D$69:$D$96,MATCH(C46,$B$69:$B$96,1)+1)))</f>
        <v>15</v>
      </c>
      <c r="J46" s="2" t="str">
        <f aca="true" t="shared" si="3" ref="J46:J52">VLOOKUP(C46,FLA_Table,5,TRUE)</f>
        <v>3 #12 W/ #12 GND</v>
      </c>
    </row>
    <row r="47" spans="1:10" ht="12.75" customHeight="1">
      <c r="A47" s="6" t="s">
        <v>301</v>
      </c>
      <c r="B47" s="11"/>
      <c r="C47" s="11">
        <v>5</v>
      </c>
      <c r="D47" s="11">
        <f t="shared" si="0"/>
        <v>7.6</v>
      </c>
      <c r="E47" s="1" t="s">
        <v>60</v>
      </c>
      <c r="F47" s="2">
        <f t="shared" si="1"/>
        <v>7.6</v>
      </c>
      <c r="H47" s="2">
        <f t="shared" si="2"/>
        <v>15</v>
      </c>
      <c r="J47" s="2" t="str">
        <f t="shared" si="3"/>
        <v>3 #12 W/ #12 GND</v>
      </c>
    </row>
    <row r="48" spans="1:10" ht="12.75" customHeight="1">
      <c r="A48" s="6" t="s">
        <v>302</v>
      </c>
      <c r="B48" s="11"/>
      <c r="C48" s="11">
        <v>5</v>
      </c>
      <c r="D48" s="11">
        <f t="shared" si="0"/>
        <v>7.6</v>
      </c>
      <c r="E48" s="1" t="s">
        <v>60</v>
      </c>
      <c r="F48" s="2">
        <f t="shared" si="1"/>
        <v>7.6</v>
      </c>
      <c r="H48" s="2">
        <f t="shared" si="2"/>
        <v>15</v>
      </c>
      <c r="J48" s="2" t="str">
        <f t="shared" si="3"/>
        <v>3 #12 W/ #12 GND</v>
      </c>
    </row>
    <row r="49" spans="1:10" ht="12.75" customHeight="1">
      <c r="A49" s="6" t="s">
        <v>238</v>
      </c>
      <c r="B49" s="11"/>
      <c r="C49" s="11">
        <v>10</v>
      </c>
      <c r="D49" s="11">
        <f t="shared" si="0"/>
        <v>14</v>
      </c>
      <c r="E49" s="1" t="s">
        <v>263</v>
      </c>
      <c r="F49" s="2">
        <f t="shared" si="1"/>
        <v>14</v>
      </c>
      <c r="H49" s="2">
        <f t="shared" si="2"/>
        <v>20</v>
      </c>
      <c r="J49" s="2" t="str">
        <f t="shared" si="3"/>
        <v>3 #12 W/ #12 GND</v>
      </c>
    </row>
    <row r="50" spans="1:10" ht="12.75" customHeight="1">
      <c r="A50" s="6" t="s">
        <v>239</v>
      </c>
      <c r="B50" s="11"/>
      <c r="C50" s="11">
        <v>10</v>
      </c>
      <c r="D50" s="11">
        <f t="shared" si="0"/>
        <v>14</v>
      </c>
      <c r="E50" s="1" t="s">
        <v>263</v>
      </c>
      <c r="F50" s="2">
        <f t="shared" si="1"/>
        <v>14</v>
      </c>
      <c r="H50" s="2">
        <f t="shared" si="2"/>
        <v>20</v>
      </c>
      <c r="J50" s="2" t="str">
        <f t="shared" si="3"/>
        <v>3 #12 W/ #12 GND</v>
      </c>
    </row>
    <row r="51" spans="1:10" ht="12.75" customHeight="1">
      <c r="A51" s="6" t="s">
        <v>240</v>
      </c>
      <c r="B51" s="11"/>
      <c r="C51" s="11">
        <v>10</v>
      </c>
      <c r="D51" s="11">
        <f t="shared" si="0"/>
        <v>14</v>
      </c>
      <c r="E51" s="1" t="s">
        <v>263</v>
      </c>
      <c r="F51" s="2">
        <f t="shared" si="1"/>
        <v>14</v>
      </c>
      <c r="H51" s="2">
        <f t="shared" si="2"/>
        <v>20</v>
      </c>
      <c r="J51" s="2" t="str">
        <f t="shared" si="3"/>
        <v>3 #12 W/ #12 GND</v>
      </c>
    </row>
    <row r="52" spans="1:10" ht="12.75" customHeight="1">
      <c r="A52" s="6" t="s">
        <v>241</v>
      </c>
      <c r="B52" s="11"/>
      <c r="C52" s="11">
        <v>10</v>
      </c>
      <c r="D52" s="11" t="s">
        <v>111</v>
      </c>
      <c r="E52" s="1" t="s">
        <v>263</v>
      </c>
      <c r="F52" s="2">
        <f t="shared" si="1"/>
        <v>14</v>
      </c>
      <c r="H52" s="2">
        <f t="shared" si="2"/>
        <v>20</v>
      </c>
      <c r="J52" s="2" t="str">
        <f t="shared" si="3"/>
        <v>3 #12 W/ #12 GND</v>
      </c>
    </row>
    <row r="53" spans="1:10" ht="12.75" customHeight="1">
      <c r="A53" s="6" t="s">
        <v>293</v>
      </c>
      <c r="B53" s="11"/>
      <c r="C53" s="11">
        <v>0.75</v>
      </c>
      <c r="D53" s="11">
        <f t="shared" si="0"/>
        <v>1.6</v>
      </c>
      <c r="E53" s="1" t="s">
        <v>60</v>
      </c>
      <c r="F53" s="2">
        <f>(((INDEX($C$69:$C$96,MATCH(C53,$B$69:$B$96,1)+1))-(VLOOKUP(C53,FLA_Table,2,TRUE)))/((INDEX($B$69:$B$96,MATCH(C53,$B$69:$B$96,1)+1))-(VLOOKUP(C53,FLA_Table,1,TRUE))))*(C53-VLOOKUP(C53,FLA_Table,1,TRUE))+VLOOKUP(C53,FLA_Table,2,TRUE)</f>
        <v>1.6</v>
      </c>
      <c r="H53" s="2">
        <f>IF(C54=VLOOKUP(C53,FLA_Table,1,TRUE),IF(OR(E53="y",E53="yes"),VLOOKUP(C53,FLA_Table,4,TRUE),VLOOKUP(C53,FLA_Table,3,TRUE)),IF(OR(E53="y",E53="yes"),INDEX($E$69:$E$96,MATCH(C53,$B$69:$B$96,1)+1),INDEX($D$69:$D$96,MATCH(C53,$B$69:$B$96,1)+1)))</f>
        <v>3</v>
      </c>
      <c r="J53" s="2" t="str">
        <f>VLOOKUP(C53,FLA_Table,5,TRUE)</f>
        <v>3 #12 W/ #12 GND</v>
      </c>
    </row>
    <row r="54" spans="1:4" ht="12.75" customHeight="1">
      <c r="A54" s="6"/>
      <c r="B54" s="11"/>
      <c r="C54" s="11"/>
      <c r="D54" s="11"/>
    </row>
    <row r="55" spans="1:4" ht="12.75" customHeight="1">
      <c r="A55" s="7" t="s">
        <v>50</v>
      </c>
      <c r="B55" s="11"/>
      <c r="C55" s="11"/>
      <c r="D55" s="11"/>
    </row>
    <row r="56" spans="1:4" ht="12.75" customHeight="1">
      <c r="A56" s="14" t="s">
        <v>262</v>
      </c>
      <c r="B56" s="11">
        <v>10</v>
      </c>
      <c r="C56" s="11"/>
      <c r="D56" s="11">
        <f>(B56*1000)/(480*1.73)</f>
        <v>12.042389210019268</v>
      </c>
    </row>
    <row r="57" spans="1:4" ht="12.75" customHeight="1">
      <c r="A57" s="14" t="s">
        <v>271</v>
      </c>
      <c r="B57" s="11"/>
      <c r="C57" s="11"/>
      <c r="D57" s="11">
        <v>30</v>
      </c>
    </row>
    <row r="58" spans="1:4" ht="12.75" customHeight="1">
      <c r="A58" s="6"/>
      <c r="B58" s="11"/>
      <c r="C58" s="11"/>
      <c r="D58" s="11"/>
    </row>
    <row r="59" spans="1:4" ht="12.75" customHeight="1">
      <c r="A59" s="15" t="s">
        <v>7</v>
      </c>
      <c r="B59" s="16"/>
      <c r="C59" s="17"/>
      <c r="D59" s="18">
        <f>SUM(D45:D58)</f>
        <v>108.44238921001926</v>
      </c>
    </row>
    <row r="60" spans="1:6" ht="12.75" customHeight="1">
      <c r="A60" s="19" t="s">
        <v>8</v>
      </c>
      <c r="B60" s="16"/>
      <c r="C60" s="17"/>
      <c r="D60" s="18">
        <f>MAX(D46:D54)*0.25</f>
        <v>3.5</v>
      </c>
      <c r="F60" s="2" t="s">
        <v>41</v>
      </c>
    </row>
    <row r="61" spans="1:4" ht="12.75" customHeight="1">
      <c r="A61" s="15" t="s">
        <v>9</v>
      </c>
      <c r="B61" s="16"/>
      <c r="C61" s="17"/>
      <c r="D61" s="18">
        <f>SUM(D59:D60)</f>
        <v>111.94238921001926</v>
      </c>
    </row>
    <row r="62" spans="1:4" ht="12.75" customHeight="1">
      <c r="A62" s="20" t="s">
        <v>48</v>
      </c>
      <c r="B62" s="21"/>
      <c r="C62" s="21"/>
      <c r="D62" s="22">
        <v>150</v>
      </c>
    </row>
    <row r="64" ht="12.75" customHeight="1">
      <c r="C64" s="70">
        <f>SUM(C46:C54)</f>
        <v>55.75</v>
      </c>
    </row>
    <row r="67" spans="2:22" ht="12.75" customHeight="1">
      <c r="B67" s="174" t="s">
        <v>11</v>
      </c>
      <c r="C67" s="175"/>
      <c r="D67" s="175"/>
      <c r="E67" s="175"/>
      <c r="F67" s="176"/>
      <c r="G67" s="49"/>
      <c r="H67" s="40"/>
      <c r="I67" s="28"/>
      <c r="K67" s="174" t="s">
        <v>83</v>
      </c>
      <c r="L67" s="176"/>
      <c r="N67" s="56" t="s">
        <v>96</v>
      </c>
      <c r="O67" s="57" t="s">
        <v>97</v>
      </c>
      <c r="P67" s="57" t="s">
        <v>98</v>
      </c>
      <c r="Q67" s="166"/>
      <c r="R67" s="58" t="s">
        <v>99</v>
      </c>
      <c r="S67" s="55" t="s">
        <v>100</v>
      </c>
      <c r="T67" s="55" t="s">
        <v>101</v>
      </c>
      <c r="U67" s="55" t="s">
        <v>102</v>
      </c>
      <c r="V67" s="54" t="s">
        <v>103</v>
      </c>
    </row>
    <row r="68" spans="2:22" ht="12.75" customHeight="1">
      <c r="B68" s="7" t="s">
        <v>12</v>
      </c>
      <c r="C68" s="7" t="s">
        <v>13</v>
      </c>
      <c r="D68" s="7" t="s">
        <v>58</v>
      </c>
      <c r="E68" s="7" t="s">
        <v>59</v>
      </c>
      <c r="F68" s="7" t="s">
        <v>66</v>
      </c>
      <c r="H68" s="51"/>
      <c r="I68" s="5"/>
      <c r="K68" s="7" t="s">
        <v>82</v>
      </c>
      <c r="L68" s="41" t="s">
        <v>66</v>
      </c>
      <c r="N68" s="160" t="s">
        <v>104</v>
      </c>
      <c r="O68" s="162" t="s">
        <v>108</v>
      </c>
      <c r="P68" s="169" t="s">
        <v>107</v>
      </c>
      <c r="Q68" s="167"/>
      <c r="R68" s="158"/>
      <c r="S68" s="158"/>
      <c r="T68" s="158"/>
      <c r="U68" s="158"/>
      <c r="V68" s="158">
        <f>IF(ISERROR(IF(U68=1,(R68*1000)/(S68*T68),(R68*1000)/(S68*T68*SQRT(3)))),"",IF(U68=1,(R68*1000)/(S68*T68),(R68*1000)/(S68*T68*SQRT(3))))</f>
      </c>
    </row>
    <row r="69" spans="2:22" ht="12.75" customHeight="1">
      <c r="B69" s="6">
        <v>0</v>
      </c>
      <c r="C69" s="6">
        <v>0</v>
      </c>
      <c r="D69" s="6">
        <v>0</v>
      </c>
      <c r="E69" s="6">
        <v>0</v>
      </c>
      <c r="F69" s="6" t="s">
        <v>64</v>
      </c>
      <c r="H69" s="40"/>
      <c r="I69" s="5"/>
      <c r="K69" s="25">
        <v>25</v>
      </c>
      <c r="L69" s="6" t="s">
        <v>64</v>
      </c>
      <c r="N69" s="161"/>
      <c r="O69" s="163"/>
      <c r="P69" s="170"/>
      <c r="Q69" s="167"/>
      <c r="R69" s="159"/>
      <c r="S69" s="159"/>
      <c r="T69" s="159"/>
      <c r="U69" s="159"/>
      <c r="V69" s="159"/>
    </row>
    <row r="70" spans="2:22" ht="12.75" customHeight="1">
      <c r="B70" s="6">
        <v>0.5</v>
      </c>
      <c r="C70" s="6">
        <v>1.1</v>
      </c>
      <c r="D70" s="6">
        <v>3</v>
      </c>
      <c r="E70" s="6">
        <v>15</v>
      </c>
      <c r="F70" s="6" t="s">
        <v>64</v>
      </c>
      <c r="H70" s="40"/>
      <c r="I70" s="5"/>
      <c r="K70" s="25">
        <v>30</v>
      </c>
      <c r="L70" s="6" t="s">
        <v>65</v>
      </c>
      <c r="N70" s="160" t="s">
        <v>105</v>
      </c>
      <c r="O70" s="162" t="s">
        <v>110</v>
      </c>
      <c r="P70" s="162" t="s">
        <v>109</v>
      </c>
      <c r="Q70" s="167"/>
      <c r="R70" s="158"/>
      <c r="S70" s="158"/>
      <c r="T70" s="164" t="s">
        <v>106</v>
      </c>
      <c r="U70" s="158"/>
      <c r="V70" s="158">
        <f>IF(ISERROR(IF(U70=1,(R70*1000)/(S70),(R70*1000)/(S70*SQRT(3)))),"",IF(U70=1,(R70*1000)/(S70),(R70*1000)/(S70*SQRT(3))))</f>
      </c>
    </row>
    <row r="71" spans="2:22" ht="12.75" customHeight="1">
      <c r="B71" s="6">
        <v>0.75</v>
      </c>
      <c r="C71" s="6">
        <v>1.6</v>
      </c>
      <c r="D71" s="6">
        <v>3</v>
      </c>
      <c r="E71" s="6">
        <v>15</v>
      </c>
      <c r="F71" s="6" t="s">
        <v>64</v>
      </c>
      <c r="H71" s="40"/>
      <c r="I71" s="5"/>
      <c r="K71" s="25">
        <v>40</v>
      </c>
      <c r="L71" s="6" t="s">
        <v>67</v>
      </c>
      <c r="N71" s="161"/>
      <c r="O71" s="163"/>
      <c r="P71" s="163"/>
      <c r="Q71" s="168"/>
      <c r="R71" s="159"/>
      <c r="S71" s="159"/>
      <c r="T71" s="165"/>
      <c r="U71" s="159"/>
      <c r="V71" s="159"/>
    </row>
    <row r="72" spans="2:12" ht="12.75" customHeight="1">
      <c r="B72" s="6">
        <v>1</v>
      </c>
      <c r="C72" s="6">
        <v>2.1</v>
      </c>
      <c r="D72" s="6">
        <v>3</v>
      </c>
      <c r="E72" s="6">
        <v>15</v>
      </c>
      <c r="F72" s="6" t="s">
        <v>64</v>
      </c>
      <c r="H72" s="40"/>
      <c r="I72" s="5"/>
      <c r="K72" s="25">
        <v>55</v>
      </c>
      <c r="L72" s="6" t="s">
        <v>85</v>
      </c>
    </row>
    <row r="73" spans="2:12" ht="12.75" customHeight="1">
      <c r="B73" s="6">
        <v>1.5</v>
      </c>
      <c r="C73" s="6">
        <v>3</v>
      </c>
      <c r="D73" s="6">
        <v>7</v>
      </c>
      <c r="E73" s="6">
        <v>15</v>
      </c>
      <c r="F73" s="6" t="s">
        <v>64</v>
      </c>
      <c r="H73" s="40"/>
      <c r="I73" s="5"/>
      <c r="K73" s="25">
        <v>70</v>
      </c>
      <c r="L73" s="6" t="s">
        <v>69</v>
      </c>
    </row>
    <row r="74" spans="2:12" ht="12.75" customHeight="1">
      <c r="B74" s="6">
        <v>2</v>
      </c>
      <c r="C74" s="6">
        <v>3.4</v>
      </c>
      <c r="D74" s="6">
        <v>7</v>
      </c>
      <c r="E74" s="6">
        <v>15</v>
      </c>
      <c r="F74" s="6" t="s">
        <v>64</v>
      </c>
      <c r="H74" s="40"/>
      <c r="I74" s="5"/>
      <c r="K74" s="25">
        <v>100</v>
      </c>
      <c r="L74" s="6" t="s">
        <v>70</v>
      </c>
    </row>
    <row r="75" spans="2:12" ht="12.75" customHeight="1">
      <c r="B75" s="6">
        <v>3</v>
      </c>
      <c r="C75" s="6">
        <v>4.8</v>
      </c>
      <c r="D75" s="6">
        <v>10</v>
      </c>
      <c r="E75" s="6">
        <v>15</v>
      </c>
      <c r="F75" s="6" t="s">
        <v>64</v>
      </c>
      <c r="H75" s="40"/>
      <c r="I75" s="5"/>
      <c r="K75" s="25">
        <v>115</v>
      </c>
      <c r="L75" s="6" t="s">
        <v>84</v>
      </c>
    </row>
    <row r="76" spans="2:12" ht="12.75" customHeight="1">
      <c r="B76" s="6">
        <v>5</v>
      </c>
      <c r="C76" s="6">
        <v>7.6</v>
      </c>
      <c r="D76" s="6">
        <v>15</v>
      </c>
      <c r="E76" s="6">
        <v>15</v>
      </c>
      <c r="F76" s="6" t="s">
        <v>64</v>
      </c>
      <c r="H76" s="40"/>
      <c r="I76" s="5"/>
      <c r="K76" s="25">
        <v>130</v>
      </c>
      <c r="L76" s="6" t="s">
        <v>71</v>
      </c>
    </row>
    <row r="77" spans="2:12" ht="12.75" customHeight="1">
      <c r="B77" s="6">
        <v>7.5</v>
      </c>
      <c r="C77" s="6">
        <v>11</v>
      </c>
      <c r="D77" s="6">
        <v>20</v>
      </c>
      <c r="E77" s="6">
        <v>15</v>
      </c>
      <c r="F77" s="6" t="s">
        <v>64</v>
      </c>
      <c r="H77" s="40"/>
      <c r="I77" s="5"/>
      <c r="K77" s="25">
        <v>150</v>
      </c>
      <c r="L77" s="6" t="s">
        <v>86</v>
      </c>
    </row>
    <row r="78" spans="2:12" ht="12.75" customHeight="1">
      <c r="B78" s="6">
        <v>10</v>
      </c>
      <c r="C78" s="6">
        <v>14</v>
      </c>
      <c r="D78" s="6">
        <v>30</v>
      </c>
      <c r="E78" s="6">
        <v>20</v>
      </c>
      <c r="F78" s="6" t="s">
        <v>64</v>
      </c>
      <c r="H78" s="40"/>
      <c r="I78" s="5"/>
      <c r="K78" s="25">
        <v>175</v>
      </c>
      <c r="L78" s="6" t="s">
        <v>72</v>
      </c>
    </row>
    <row r="79" spans="2:12" ht="12.75" customHeight="1">
      <c r="B79" s="6">
        <v>15</v>
      </c>
      <c r="C79" s="6">
        <v>21</v>
      </c>
      <c r="D79" s="6">
        <v>40</v>
      </c>
      <c r="E79" s="6">
        <v>30</v>
      </c>
      <c r="F79" s="6" t="s">
        <v>65</v>
      </c>
      <c r="H79" s="40"/>
      <c r="I79" s="5"/>
      <c r="K79" s="25">
        <v>200</v>
      </c>
      <c r="L79" s="6" t="s">
        <v>73</v>
      </c>
    </row>
    <row r="80" spans="2:12" ht="12.75" customHeight="1">
      <c r="B80" s="6">
        <v>20</v>
      </c>
      <c r="C80" s="6">
        <v>27</v>
      </c>
      <c r="D80" s="6">
        <v>50</v>
      </c>
      <c r="E80" s="6">
        <v>40</v>
      </c>
      <c r="F80" s="6" t="s">
        <v>65</v>
      </c>
      <c r="H80" s="40"/>
      <c r="I80" s="5"/>
      <c r="K80" s="25">
        <v>230</v>
      </c>
      <c r="L80" s="6" t="s">
        <v>74</v>
      </c>
    </row>
    <row r="81" spans="2:12" ht="12.75" customHeight="1">
      <c r="B81" s="6">
        <v>25</v>
      </c>
      <c r="C81" s="6">
        <v>34</v>
      </c>
      <c r="D81" s="6">
        <v>50</v>
      </c>
      <c r="E81" s="6">
        <v>50</v>
      </c>
      <c r="F81" s="6" t="s">
        <v>67</v>
      </c>
      <c r="H81" s="40"/>
      <c r="I81" s="5"/>
      <c r="K81" s="25">
        <v>255</v>
      </c>
      <c r="L81" s="6" t="s">
        <v>87</v>
      </c>
    </row>
    <row r="82" spans="2:12" ht="12.75" customHeight="1">
      <c r="B82" s="6">
        <v>30</v>
      </c>
      <c r="C82" s="6">
        <v>40</v>
      </c>
      <c r="D82" s="6">
        <v>70</v>
      </c>
      <c r="E82" s="6">
        <v>60</v>
      </c>
      <c r="F82" s="6" t="s">
        <v>67</v>
      </c>
      <c r="H82" s="40"/>
      <c r="I82" s="5"/>
      <c r="K82" s="25">
        <v>285</v>
      </c>
      <c r="L82" s="6" t="s">
        <v>87</v>
      </c>
    </row>
    <row r="83" spans="2:12" ht="12.75" customHeight="1">
      <c r="B83" s="6">
        <v>40</v>
      </c>
      <c r="C83" s="6">
        <v>52</v>
      </c>
      <c r="D83" s="6">
        <v>100</v>
      </c>
      <c r="E83" s="6">
        <v>80</v>
      </c>
      <c r="F83" s="6" t="s">
        <v>68</v>
      </c>
      <c r="H83" s="40"/>
      <c r="I83" s="5"/>
      <c r="K83" s="25">
        <v>310</v>
      </c>
      <c r="L83" s="6" t="s">
        <v>75</v>
      </c>
    </row>
    <row r="84" spans="2:12" ht="12.75" customHeight="1">
      <c r="B84" s="6">
        <v>50</v>
      </c>
      <c r="C84" s="6">
        <v>65</v>
      </c>
      <c r="D84" s="6">
        <v>150</v>
      </c>
      <c r="E84" s="6">
        <v>100</v>
      </c>
      <c r="F84" s="6" t="s">
        <v>69</v>
      </c>
      <c r="H84" s="40"/>
      <c r="I84" s="5"/>
      <c r="K84" s="25">
        <v>335</v>
      </c>
      <c r="L84" s="6" t="s">
        <v>88</v>
      </c>
    </row>
    <row r="85" spans="2:12" ht="12.75" customHeight="1">
      <c r="B85" s="6">
        <v>60</v>
      </c>
      <c r="C85" s="6">
        <v>77</v>
      </c>
      <c r="D85" s="6">
        <v>200</v>
      </c>
      <c r="E85" s="6">
        <v>125</v>
      </c>
      <c r="F85" s="6" t="s">
        <v>70</v>
      </c>
      <c r="H85" s="50"/>
      <c r="K85" s="25">
        <v>380</v>
      </c>
      <c r="L85" s="6" t="s">
        <v>76</v>
      </c>
    </row>
    <row r="86" spans="2:12" ht="12.75" customHeight="1">
      <c r="B86" s="6">
        <v>75</v>
      </c>
      <c r="C86" s="6">
        <v>96</v>
      </c>
      <c r="D86" s="6">
        <v>200</v>
      </c>
      <c r="E86" s="6">
        <v>150</v>
      </c>
      <c r="F86" s="6" t="s">
        <v>71</v>
      </c>
      <c r="K86" s="6">
        <v>400</v>
      </c>
      <c r="L86" s="6" t="s">
        <v>89</v>
      </c>
    </row>
    <row r="87" spans="2:12" ht="12.75" customHeight="1">
      <c r="B87" s="6">
        <v>100</v>
      </c>
      <c r="C87" s="6">
        <v>124</v>
      </c>
      <c r="D87" s="6">
        <v>200</v>
      </c>
      <c r="E87" s="6">
        <v>200</v>
      </c>
      <c r="F87" s="6" t="s">
        <v>72</v>
      </c>
      <c r="K87" s="6">
        <v>500</v>
      </c>
      <c r="L87" s="6" t="s">
        <v>89</v>
      </c>
    </row>
    <row r="88" spans="2:12" ht="12.75" customHeight="1">
      <c r="B88" s="6">
        <v>125</v>
      </c>
      <c r="C88" s="6">
        <v>156</v>
      </c>
      <c r="D88" s="6">
        <v>250</v>
      </c>
      <c r="E88" s="6">
        <v>250</v>
      </c>
      <c r="F88" s="6" t="s">
        <v>73</v>
      </c>
      <c r="K88" s="6">
        <v>600</v>
      </c>
      <c r="L88" s="6" t="s">
        <v>90</v>
      </c>
    </row>
    <row r="89" spans="2:12" ht="12.75" customHeight="1">
      <c r="B89" s="6">
        <v>150</v>
      </c>
      <c r="C89" s="6">
        <v>180</v>
      </c>
      <c r="D89" s="6">
        <v>300</v>
      </c>
      <c r="E89" s="6">
        <v>300</v>
      </c>
      <c r="F89" s="6" t="s">
        <v>74</v>
      </c>
      <c r="K89" s="6">
        <v>800</v>
      </c>
      <c r="L89" s="6" t="s">
        <v>91</v>
      </c>
    </row>
    <row r="90" spans="2:12" ht="12.75" customHeight="1">
      <c r="B90" s="6">
        <v>200</v>
      </c>
      <c r="C90" s="6">
        <v>240</v>
      </c>
      <c r="D90" s="6">
        <v>400</v>
      </c>
      <c r="E90" s="6">
        <v>400</v>
      </c>
      <c r="F90" s="6" t="s">
        <v>75</v>
      </c>
      <c r="K90" s="6">
        <v>1000</v>
      </c>
      <c r="L90" s="6" t="s">
        <v>92</v>
      </c>
    </row>
    <row r="91" spans="2:12" ht="12.75" customHeight="1">
      <c r="B91" s="6">
        <v>250</v>
      </c>
      <c r="C91" s="6">
        <v>302</v>
      </c>
      <c r="D91" s="6">
        <v>500</v>
      </c>
      <c r="E91" s="6">
        <v>500</v>
      </c>
      <c r="F91" s="6" t="s">
        <v>76</v>
      </c>
      <c r="K91" s="6">
        <v>1200</v>
      </c>
      <c r="L91" s="6" t="s">
        <v>93</v>
      </c>
    </row>
    <row r="92" spans="2:12" ht="12.75" customHeight="1">
      <c r="B92" s="6">
        <v>300</v>
      </c>
      <c r="C92" s="6">
        <v>361</v>
      </c>
      <c r="D92" s="6">
        <v>600</v>
      </c>
      <c r="E92" s="6">
        <v>600</v>
      </c>
      <c r="F92" s="6" t="s">
        <v>77</v>
      </c>
      <c r="K92" s="6">
        <v>1600</v>
      </c>
      <c r="L92" s="6" t="s">
        <v>94</v>
      </c>
    </row>
    <row r="93" spans="2:6" ht="12.75" customHeight="1">
      <c r="B93" s="6">
        <v>350</v>
      </c>
      <c r="C93" s="6">
        <v>414</v>
      </c>
      <c r="D93" s="6">
        <v>700</v>
      </c>
      <c r="E93" s="6">
        <v>700</v>
      </c>
      <c r="F93" s="6" t="s">
        <v>78</v>
      </c>
    </row>
    <row r="94" spans="2:6" ht="12.75" customHeight="1">
      <c r="B94" s="6">
        <v>400</v>
      </c>
      <c r="C94" s="6">
        <v>477</v>
      </c>
      <c r="D94" s="6">
        <v>800</v>
      </c>
      <c r="E94" s="6">
        <v>800</v>
      </c>
      <c r="F94" s="6" t="s">
        <v>79</v>
      </c>
    </row>
    <row r="95" spans="2:6" ht="12.75" customHeight="1">
      <c r="B95" s="6">
        <v>450</v>
      </c>
      <c r="C95" s="6">
        <v>515</v>
      </c>
      <c r="D95" s="6">
        <v>900</v>
      </c>
      <c r="E95" s="6">
        <v>900</v>
      </c>
      <c r="F95" s="6" t="s">
        <v>80</v>
      </c>
    </row>
    <row r="96" spans="2:6" ht="12.75" customHeight="1">
      <c r="B96" s="6">
        <v>500</v>
      </c>
      <c r="C96" s="6">
        <v>590</v>
      </c>
      <c r="D96" s="6">
        <v>1000</v>
      </c>
      <c r="E96" s="6">
        <v>1000</v>
      </c>
      <c r="F96" s="6" t="s">
        <v>81</v>
      </c>
    </row>
  </sheetData>
  <sheetProtection/>
  <mergeCells count="23">
    <mergeCell ref="V70:V71"/>
    <mergeCell ref="T68:T69"/>
    <mergeCell ref="U68:U69"/>
    <mergeCell ref="V68:V69"/>
    <mergeCell ref="N70:N71"/>
    <mergeCell ref="O70:O71"/>
    <mergeCell ref="P70:P71"/>
    <mergeCell ref="R70:R71"/>
    <mergeCell ref="S70:S71"/>
    <mergeCell ref="T70:T71"/>
    <mergeCell ref="U70:U71"/>
    <mergeCell ref="Q67:Q71"/>
    <mergeCell ref="N68:N69"/>
    <mergeCell ref="O68:O69"/>
    <mergeCell ref="P68:P69"/>
    <mergeCell ref="R68:R69"/>
    <mergeCell ref="S68:S69"/>
    <mergeCell ref="B3:E3"/>
    <mergeCell ref="B4:E4"/>
    <mergeCell ref="A8:E8"/>
    <mergeCell ref="A41:D41"/>
    <mergeCell ref="B67:F67"/>
    <mergeCell ref="K67:L67"/>
  </mergeCells>
  <printOptions horizontalCentered="1"/>
  <pageMargins left="0.75" right="0.75" top="1" bottom="1" header="0.5" footer="0.5"/>
  <pageSetup fitToHeight="1" fitToWidth="1"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198"/>
  <sheetViews>
    <sheetView zoomScalePageLayoutView="0" workbookViewId="0" topLeftCell="A17">
      <selection activeCell="K39" sqref="K39"/>
    </sheetView>
  </sheetViews>
  <sheetFormatPr defaultColWidth="9.7109375" defaultRowHeight="12.75"/>
  <cols>
    <col min="1" max="1" width="62.140625" style="77" bestFit="1" customWidth="1"/>
    <col min="2" max="3" width="11.7109375" style="1" customWidth="1"/>
    <col min="4" max="5" width="13.7109375" style="1" customWidth="1"/>
    <col min="6" max="7" width="11.7109375" style="1" customWidth="1"/>
    <col min="8" max="8" width="56.8515625" style="87" customWidth="1"/>
    <col min="9" max="9" width="33.140625" style="2" hidden="1" customWidth="1"/>
    <col min="10" max="16384" width="9.7109375" style="2" customWidth="1"/>
  </cols>
  <sheetData>
    <row r="1" spans="1:6" ht="12.75">
      <c r="A1" s="81"/>
      <c r="F1" s="78"/>
    </row>
    <row r="2" spans="6:8" ht="12.75">
      <c r="F2" s="78"/>
      <c r="G2" s="28"/>
      <c r="H2" s="88"/>
    </row>
    <row r="3" spans="1:8" ht="12.75">
      <c r="A3" s="77" t="s">
        <v>0</v>
      </c>
      <c r="B3" s="180"/>
      <c r="C3" s="180"/>
      <c r="D3" s="180"/>
      <c r="E3" s="180"/>
      <c r="F3" s="180"/>
      <c r="G3" s="180"/>
      <c r="H3" s="180"/>
    </row>
    <row r="4" spans="1:8" ht="12.75">
      <c r="A4" s="77" t="s">
        <v>1</v>
      </c>
      <c r="B4" s="172"/>
      <c r="C4" s="172"/>
      <c r="D4" s="172"/>
      <c r="E4" s="172"/>
      <c r="F4" s="172"/>
      <c r="G4" s="172"/>
      <c r="H4" s="172"/>
    </row>
    <row r="5" spans="1:8" ht="12.75">
      <c r="A5" s="77" t="s">
        <v>2</v>
      </c>
      <c r="B5" s="171"/>
      <c r="C5" s="171"/>
      <c r="D5" s="171"/>
      <c r="E5" s="171"/>
      <c r="F5" s="171"/>
      <c r="G5" s="171"/>
      <c r="H5" s="171"/>
    </row>
    <row r="8" ht="13.5" thickBot="1"/>
    <row r="9" spans="1:9" ht="13.5" thickTop="1">
      <c r="A9" s="82" t="s">
        <v>14</v>
      </c>
      <c r="B9" s="29" t="s">
        <v>254</v>
      </c>
      <c r="C9" s="76" t="s">
        <v>15</v>
      </c>
      <c r="D9" s="79" t="s">
        <v>37</v>
      </c>
      <c r="E9" s="76" t="s">
        <v>17</v>
      </c>
      <c r="F9" s="29" t="s">
        <v>114</v>
      </c>
      <c r="G9" s="76" t="s">
        <v>19</v>
      </c>
      <c r="H9" s="89" t="s">
        <v>236</v>
      </c>
      <c r="I9" s="35"/>
    </row>
    <row r="10" spans="1:9" ht="13.5" thickBot="1">
      <c r="A10" s="82" t="s">
        <v>20</v>
      </c>
      <c r="B10" s="29" t="s">
        <v>21</v>
      </c>
      <c r="C10" s="76" t="s">
        <v>22</v>
      </c>
      <c r="D10" s="29" t="s">
        <v>23</v>
      </c>
      <c r="E10" s="80" t="s">
        <v>52</v>
      </c>
      <c r="F10" s="29" t="s">
        <v>237</v>
      </c>
      <c r="G10" s="80" t="s">
        <v>26</v>
      </c>
      <c r="H10" s="89" t="s">
        <v>237</v>
      </c>
      <c r="I10" s="36"/>
    </row>
    <row r="11" spans="1:8" ht="13.5" thickTop="1">
      <c r="A11" s="64" t="s">
        <v>27</v>
      </c>
      <c r="B11" s="7" t="s">
        <v>28</v>
      </c>
      <c r="C11" s="7" t="s">
        <v>29</v>
      </c>
      <c r="D11" s="7" t="s">
        <v>38</v>
      </c>
      <c r="E11" s="7" t="s">
        <v>39</v>
      </c>
      <c r="F11" s="7" t="s">
        <v>29</v>
      </c>
      <c r="G11" s="7" t="s">
        <v>28</v>
      </c>
      <c r="H11" s="66" t="s">
        <v>27</v>
      </c>
    </row>
    <row r="12" spans="1:8" ht="12.75">
      <c r="A12" s="64" t="s">
        <v>221</v>
      </c>
      <c r="B12" s="7" t="s">
        <v>33</v>
      </c>
      <c r="C12" s="7">
        <v>1</v>
      </c>
      <c r="D12" s="73">
        <f>43*6</f>
        <v>258</v>
      </c>
      <c r="E12" s="48"/>
      <c r="F12" s="7"/>
      <c r="G12" s="7"/>
      <c r="H12" s="66"/>
    </row>
    <row r="13" spans="1:8" ht="12.75">
      <c r="A13" s="64"/>
      <c r="B13" s="7"/>
      <c r="C13" s="7"/>
      <c r="D13" s="73">
        <v>29</v>
      </c>
      <c r="E13" s="48"/>
      <c r="F13" s="7">
        <v>2</v>
      </c>
      <c r="G13" s="7" t="s">
        <v>33</v>
      </c>
      <c r="H13" s="66" t="s">
        <v>235</v>
      </c>
    </row>
    <row r="14" spans="1:8" ht="12.75">
      <c r="A14" s="64" t="s">
        <v>286</v>
      </c>
      <c r="B14" s="7" t="s">
        <v>33</v>
      </c>
      <c r="C14" s="7">
        <v>3</v>
      </c>
      <c r="D14" s="48"/>
      <c r="E14" s="73">
        <f>40*5</f>
        <v>200</v>
      </c>
      <c r="F14" s="7"/>
      <c r="G14" s="7"/>
      <c r="H14" s="66"/>
    </row>
    <row r="15" spans="1:8" ht="12.75">
      <c r="A15" s="64"/>
      <c r="B15" s="7"/>
      <c r="C15" s="7"/>
      <c r="D15" s="48"/>
      <c r="E15" s="73">
        <f>29+34</f>
        <v>63</v>
      </c>
      <c r="F15" s="7">
        <v>4</v>
      </c>
      <c r="G15" s="7" t="s">
        <v>33</v>
      </c>
      <c r="H15" s="66" t="s">
        <v>222</v>
      </c>
    </row>
    <row r="16" spans="1:8" ht="12.75">
      <c r="A16" s="64" t="s">
        <v>230</v>
      </c>
      <c r="B16" s="7" t="s">
        <v>33</v>
      </c>
      <c r="C16" s="7">
        <v>5</v>
      </c>
      <c r="D16" s="73">
        <f>64*14</f>
        <v>896</v>
      </c>
      <c r="E16" s="48"/>
      <c r="F16" s="7"/>
      <c r="G16" s="7"/>
      <c r="H16" s="66"/>
    </row>
    <row r="17" spans="1:8" ht="12.75">
      <c r="A17" s="64"/>
      <c r="B17" s="7"/>
      <c r="C17" s="7"/>
      <c r="D17" s="73">
        <f>2.4*5</f>
        <v>12</v>
      </c>
      <c r="E17" s="48"/>
      <c r="F17" s="7">
        <v>6</v>
      </c>
      <c r="G17" s="7" t="s">
        <v>33</v>
      </c>
      <c r="H17" s="66" t="s">
        <v>287</v>
      </c>
    </row>
    <row r="18" spans="1:8" ht="12.75">
      <c r="A18" s="64" t="s">
        <v>223</v>
      </c>
      <c r="B18" s="7" t="s">
        <v>33</v>
      </c>
      <c r="C18" s="7">
        <v>7</v>
      </c>
      <c r="D18" s="48"/>
      <c r="E18" s="73">
        <f>43*4</f>
        <v>172</v>
      </c>
      <c r="F18" s="7"/>
      <c r="G18" s="26"/>
      <c r="H18" s="66"/>
    </row>
    <row r="19" spans="1:8" ht="12.75">
      <c r="A19" s="64"/>
      <c r="B19" s="26"/>
      <c r="C19" s="7"/>
      <c r="D19" s="48"/>
      <c r="E19" s="73">
        <f>180*3</f>
        <v>540</v>
      </c>
      <c r="F19" s="7">
        <v>8</v>
      </c>
      <c r="G19" s="7" t="s">
        <v>33</v>
      </c>
      <c r="H19" s="66" t="s">
        <v>224</v>
      </c>
    </row>
    <row r="20" spans="1:8" ht="12.75">
      <c r="A20" s="64" t="s">
        <v>225</v>
      </c>
      <c r="B20" s="7" t="s">
        <v>33</v>
      </c>
      <c r="C20" s="7">
        <v>9</v>
      </c>
      <c r="D20" s="73">
        <f>180*3</f>
        <v>540</v>
      </c>
      <c r="E20" s="48"/>
      <c r="F20" s="7"/>
      <c r="G20" s="26"/>
      <c r="H20" s="66"/>
    </row>
    <row r="21" spans="1:8" ht="12.75">
      <c r="A21" s="83"/>
      <c r="B21" s="7"/>
      <c r="C21" s="7"/>
      <c r="D21" s="73">
        <f>180*2</f>
        <v>360</v>
      </c>
      <c r="E21" s="48"/>
      <c r="F21" s="7">
        <v>10</v>
      </c>
      <c r="G21" s="7" t="s">
        <v>33</v>
      </c>
      <c r="H21" s="66" t="s">
        <v>226</v>
      </c>
    </row>
    <row r="22" spans="1:8" ht="12.75">
      <c r="A22" s="64" t="s">
        <v>227</v>
      </c>
      <c r="B22" s="7" t="s">
        <v>33</v>
      </c>
      <c r="C22" s="7">
        <v>11</v>
      </c>
      <c r="D22" s="48"/>
      <c r="E22" s="73">
        <v>540</v>
      </c>
      <c r="F22" s="7"/>
      <c r="G22" s="7"/>
      <c r="H22" s="66"/>
    </row>
    <row r="23" spans="1:8" ht="12.75">
      <c r="A23" s="64"/>
      <c r="B23" s="7"/>
      <c r="C23" s="7"/>
      <c r="D23" s="48"/>
      <c r="E23" s="73">
        <f>180*3</f>
        <v>540</v>
      </c>
      <c r="F23" s="7">
        <v>12</v>
      </c>
      <c r="G23" s="7" t="s">
        <v>33</v>
      </c>
      <c r="H23" s="66" t="s">
        <v>229</v>
      </c>
    </row>
    <row r="24" spans="1:8" ht="12.75">
      <c r="A24" s="64" t="s">
        <v>228</v>
      </c>
      <c r="B24" s="7" t="s">
        <v>33</v>
      </c>
      <c r="C24" s="7">
        <v>13</v>
      </c>
      <c r="D24" s="73">
        <f>180*2</f>
        <v>360</v>
      </c>
      <c r="E24" s="48"/>
      <c r="F24" s="7"/>
      <c r="G24" s="7"/>
      <c r="H24" s="66"/>
    </row>
    <row r="25" spans="1:8" ht="12.75">
      <c r="A25" s="64"/>
      <c r="B25" s="7"/>
      <c r="C25" s="7"/>
      <c r="D25" s="1">
        <v>100</v>
      </c>
      <c r="E25" s="48"/>
      <c r="F25" s="7">
        <v>14</v>
      </c>
      <c r="G25" s="7" t="s">
        <v>33</v>
      </c>
      <c r="H25" s="66" t="s">
        <v>257</v>
      </c>
    </row>
    <row r="26" spans="1:8" ht="12.75">
      <c r="A26" s="64" t="s">
        <v>288</v>
      </c>
      <c r="B26" s="7" t="s">
        <v>33</v>
      </c>
      <c r="C26" s="7">
        <v>15</v>
      </c>
      <c r="D26" s="48"/>
      <c r="E26" s="73">
        <f>180*2</f>
        <v>360</v>
      </c>
      <c r="F26" s="7"/>
      <c r="G26" s="7"/>
      <c r="H26" s="66"/>
    </row>
    <row r="27" spans="1:8" ht="12.75">
      <c r="A27" s="64"/>
      <c r="B27" s="7"/>
      <c r="C27" s="7"/>
      <c r="D27" s="48"/>
      <c r="E27" s="73">
        <v>500</v>
      </c>
      <c r="F27" s="7">
        <v>16</v>
      </c>
      <c r="G27" s="7" t="s">
        <v>33</v>
      </c>
      <c r="H27" s="66" t="s">
        <v>231</v>
      </c>
    </row>
    <row r="28" spans="1:8" ht="12.75">
      <c r="A28" s="64" t="s">
        <v>289</v>
      </c>
      <c r="B28" s="7" t="s">
        <v>33</v>
      </c>
      <c r="C28" s="7">
        <v>17</v>
      </c>
      <c r="D28" s="73">
        <f>180*4</f>
        <v>720</v>
      </c>
      <c r="E28" s="48"/>
      <c r="F28" s="7"/>
      <c r="G28" s="26"/>
      <c r="H28" s="66"/>
    </row>
    <row r="29" spans="1:8" ht="12.75">
      <c r="A29" s="64"/>
      <c r="B29" s="7"/>
      <c r="C29" s="7"/>
      <c r="D29" s="47">
        <v>1000</v>
      </c>
      <c r="E29" s="48"/>
      <c r="F29" s="7">
        <v>18</v>
      </c>
      <c r="G29" s="177" t="s">
        <v>152</v>
      </c>
      <c r="H29" s="181" t="s">
        <v>252</v>
      </c>
    </row>
    <row r="30" spans="1:8" ht="12.75">
      <c r="A30" s="64" t="s">
        <v>232</v>
      </c>
      <c r="B30" s="7" t="s">
        <v>33</v>
      </c>
      <c r="C30" s="7">
        <v>19</v>
      </c>
      <c r="D30" s="48"/>
      <c r="E30" s="74">
        <v>500</v>
      </c>
      <c r="F30" s="7"/>
      <c r="G30" s="178"/>
      <c r="H30" s="182"/>
    </row>
    <row r="31" spans="1:8" ht="12.75">
      <c r="A31" s="64"/>
      <c r="B31" s="7"/>
      <c r="C31" s="7"/>
      <c r="D31" s="48"/>
      <c r="E31" s="47">
        <v>1000</v>
      </c>
      <c r="F31" s="7">
        <v>20</v>
      </c>
      <c r="G31" s="179"/>
      <c r="H31" s="183"/>
    </row>
    <row r="32" spans="1:8" ht="12.75">
      <c r="A32" s="64" t="s">
        <v>251</v>
      </c>
      <c r="B32" s="7" t="s">
        <v>33</v>
      </c>
      <c r="C32" s="7">
        <v>21</v>
      </c>
      <c r="D32" s="47">
        <v>1440</v>
      </c>
      <c r="E32" s="48"/>
      <c r="F32" s="7"/>
      <c r="G32" s="26"/>
      <c r="H32" s="93"/>
    </row>
    <row r="33" spans="1:8" ht="12.75">
      <c r="A33" s="64"/>
      <c r="B33" s="7"/>
      <c r="C33" s="7"/>
      <c r="D33" s="78">
        <v>1200</v>
      </c>
      <c r="E33" s="48"/>
      <c r="F33" s="7">
        <v>22</v>
      </c>
      <c r="G33" s="76" t="s">
        <v>33</v>
      </c>
      <c r="H33" s="66" t="s">
        <v>354</v>
      </c>
    </row>
    <row r="34" spans="1:8" ht="12.75">
      <c r="A34" s="64" t="s">
        <v>353</v>
      </c>
      <c r="B34" s="7" t="s">
        <v>33</v>
      </c>
      <c r="C34" s="7">
        <v>23</v>
      </c>
      <c r="D34" s="48"/>
      <c r="E34" s="73">
        <v>1200</v>
      </c>
      <c r="F34" s="7"/>
      <c r="G34" s="7"/>
      <c r="H34" s="94"/>
    </row>
    <row r="35" spans="1:8" ht="12.75">
      <c r="A35" s="64"/>
      <c r="B35" s="7"/>
      <c r="C35" s="7"/>
      <c r="D35" s="48"/>
      <c r="E35" s="47">
        <v>500</v>
      </c>
      <c r="F35" s="7">
        <v>24</v>
      </c>
      <c r="G35" s="7" t="s">
        <v>33</v>
      </c>
      <c r="H35" s="66" t="s">
        <v>253</v>
      </c>
    </row>
    <row r="36" spans="1:8" ht="12.75">
      <c r="A36" s="84" t="s">
        <v>135</v>
      </c>
      <c r="B36" s="7" t="s">
        <v>33</v>
      </c>
      <c r="C36" s="7">
        <v>25</v>
      </c>
      <c r="D36" s="74">
        <v>0</v>
      </c>
      <c r="E36" s="48"/>
      <c r="F36" s="7"/>
      <c r="G36" s="26"/>
      <c r="H36" s="66"/>
    </row>
    <row r="37" spans="1:8" ht="12.75">
      <c r="A37" s="64"/>
      <c r="B37" s="7"/>
      <c r="C37" s="7"/>
      <c r="D37" s="74">
        <v>500</v>
      </c>
      <c r="E37" s="48"/>
      <c r="F37" s="7">
        <v>26</v>
      </c>
      <c r="G37" s="7" t="s">
        <v>33</v>
      </c>
      <c r="H37" s="90" t="s">
        <v>356</v>
      </c>
    </row>
    <row r="38" spans="1:8" ht="12.75">
      <c r="A38" s="84" t="s">
        <v>357</v>
      </c>
      <c r="B38" s="7" t="s">
        <v>33</v>
      </c>
      <c r="C38" s="7">
        <v>27</v>
      </c>
      <c r="D38" s="48"/>
      <c r="E38" s="74">
        <v>500</v>
      </c>
      <c r="F38" s="7"/>
      <c r="G38" s="7"/>
      <c r="H38" s="66"/>
    </row>
    <row r="39" spans="1:8" ht="12.75">
      <c r="A39" s="64"/>
      <c r="B39" s="7"/>
      <c r="C39" s="7"/>
      <c r="D39" s="48"/>
      <c r="E39" s="75">
        <v>1000</v>
      </c>
      <c r="F39" s="7">
        <v>28</v>
      </c>
      <c r="G39" s="7" t="s">
        <v>33</v>
      </c>
      <c r="H39" s="66" t="s">
        <v>267</v>
      </c>
    </row>
    <row r="40" spans="1:8" ht="12.75">
      <c r="A40" s="85" t="s">
        <v>261</v>
      </c>
      <c r="B40" s="7" t="s">
        <v>33</v>
      </c>
      <c r="C40" s="7">
        <v>29</v>
      </c>
      <c r="D40" s="47"/>
      <c r="E40" s="48"/>
      <c r="F40" s="7"/>
      <c r="G40" s="26"/>
      <c r="H40" s="66"/>
    </row>
    <row r="41" spans="1:8" ht="12.75">
      <c r="A41" s="64"/>
      <c r="B41" s="7"/>
      <c r="C41" s="7"/>
      <c r="D41" s="47">
        <v>0</v>
      </c>
      <c r="E41" s="48"/>
      <c r="F41" s="7">
        <v>30</v>
      </c>
      <c r="G41" s="7" t="s">
        <v>33</v>
      </c>
      <c r="H41" s="140" t="s">
        <v>135</v>
      </c>
    </row>
    <row r="42" spans="1:8" ht="12.75">
      <c r="A42" s="84" t="s">
        <v>135</v>
      </c>
      <c r="B42" s="7" t="s">
        <v>33</v>
      </c>
      <c r="C42" s="7">
        <v>31</v>
      </c>
      <c r="D42" s="48"/>
      <c r="E42" s="47">
        <v>0</v>
      </c>
      <c r="F42" s="7"/>
      <c r="G42" s="7"/>
      <c r="H42" s="66"/>
    </row>
    <row r="43" spans="1:8" ht="12.75">
      <c r="A43" s="64" t="s">
        <v>41</v>
      </c>
      <c r="B43" s="7"/>
      <c r="C43" s="7"/>
      <c r="D43" s="48"/>
      <c r="E43" s="47">
        <v>0</v>
      </c>
      <c r="F43" s="7">
        <v>32</v>
      </c>
      <c r="G43" s="7" t="s">
        <v>33</v>
      </c>
      <c r="H43" s="90" t="s">
        <v>135</v>
      </c>
    </row>
    <row r="44" spans="1:8" ht="12.75">
      <c r="A44" s="66" t="s">
        <v>135</v>
      </c>
      <c r="B44" s="7" t="s">
        <v>33</v>
      </c>
      <c r="C44" s="7">
        <v>33</v>
      </c>
      <c r="D44" s="47">
        <v>0</v>
      </c>
      <c r="E44" s="48"/>
      <c r="F44" s="7"/>
      <c r="G44" s="26"/>
      <c r="H44" s="66"/>
    </row>
    <row r="45" spans="1:8" ht="12.75">
      <c r="A45" s="64"/>
      <c r="B45" s="7"/>
      <c r="C45" s="7"/>
      <c r="D45" s="72">
        <v>0</v>
      </c>
      <c r="E45" s="48"/>
      <c r="F45" s="7">
        <v>34</v>
      </c>
      <c r="G45" s="7" t="s">
        <v>33</v>
      </c>
      <c r="H45" s="66" t="s">
        <v>135</v>
      </c>
    </row>
    <row r="46" spans="1:8" ht="12.75">
      <c r="A46" s="64" t="s">
        <v>255</v>
      </c>
      <c r="B46" s="7" t="s">
        <v>33</v>
      </c>
      <c r="C46" s="7">
        <v>35</v>
      </c>
      <c r="D46" s="48"/>
      <c r="E46" s="72">
        <v>500</v>
      </c>
      <c r="F46" s="7"/>
      <c r="G46" s="7"/>
      <c r="H46" s="66"/>
    </row>
    <row r="47" spans="1:8" ht="12.75">
      <c r="A47" s="64"/>
      <c r="B47" s="7"/>
      <c r="C47" s="7"/>
      <c r="D47" s="48"/>
      <c r="E47" s="47">
        <v>0</v>
      </c>
      <c r="F47" s="7">
        <v>36</v>
      </c>
      <c r="G47" s="7" t="s">
        <v>33</v>
      </c>
      <c r="H47" s="66" t="s">
        <v>135</v>
      </c>
    </row>
    <row r="48" spans="1:8" ht="12.75">
      <c r="A48" s="64" t="s">
        <v>135</v>
      </c>
      <c r="B48" s="7" t="s">
        <v>33</v>
      </c>
      <c r="C48" s="7">
        <v>37</v>
      </c>
      <c r="D48" s="47">
        <v>0</v>
      </c>
      <c r="E48" s="48"/>
      <c r="F48" s="7"/>
      <c r="G48" s="26"/>
      <c r="H48" s="66"/>
    </row>
    <row r="49" spans="1:8" ht="12.75">
      <c r="A49" s="64"/>
      <c r="B49" s="7"/>
      <c r="C49" s="7"/>
      <c r="D49" s="75"/>
      <c r="E49" s="48"/>
      <c r="F49" s="7">
        <v>38</v>
      </c>
      <c r="G49" s="7" t="s">
        <v>33</v>
      </c>
      <c r="H49" s="66"/>
    </row>
    <row r="50" spans="1:8" ht="12.75">
      <c r="A50" s="64" t="s">
        <v>135</v>
      </c>
      <c r="B50" s="7" t="s">
        <v>33</v>
      </c>
      <c r="C50" s="7">
        <v>39</v>
      </c>
      <c r="D50" s="48"/>
      <c r="E50" s="47">
        <v>0</v>
      </c>
      <c r="F50" s="7"/>
      <c r="G50" s="7"/>
      <c r="H50" s="66"/>
    </row>
    <row r="51" spans="1:8" ht="12.75">
      <c r="A51" s="64"/>
      <c r="B51" s="65"/>
      <c r="C51" s="7"/>
      <c r="D51" s="48"/>
      <c r="E51" s="75"/>
      <c r="F51" s="7">
        <v>40</v>
      </c>
      <c r="G51" s="7" t="s">
        <v>33</v>
      </c>
      <c r="H51" s="66"/>
    </row>
    <row r="52" spans="1:8" ht="12.75">
      <c r="A52" s="184" t="s">
        <v>272</v>
      </c>
      <c r="B52" s="177" t="s">
        <v>152</v>
      </c>
      <c r="C52" s="7">
        <v>41</v>
      </c>
      <c r="D52" s="47">
        <v>1500</v>
      </c>
      <c r="E52" s="48"/>
      <c r="F52" s="7"/>
      <c r="G52" s="26"/>
      <c r="H52" s="66"/>
    </row>
    <row r="53" spans="1:8" ht="12.75">
      <c r="A53" s="185"/>
      <c r="B53" s="178"/>
      <c r="C53" s="7"/>
      <c r="D53" s="75"/>
      <c r="E53" s="48"/>
      <c r="F53" s="7">
        <v>42</v>
      </c>
      <c r="G53" s="7" t="s">
        <v>33</v>
      </c>
      <c r="H53" s="66"/>
    </row>
    <row r="54" spans="1:8" ht="12.75">
      <c r="A54" s="186"/>
      <c r="B54" s="179"/>
      <c r="C54" s="7">
        <v>43</v>
      </c>
      <c r="D54" s="48"/>
      <c r="E54" s="7">
        <v>1500</v>
      </c>
      <c r="F54" s="7"/>
      <c r="G54" s="7"/>
      <c r="H54" s="86"/>
    </row>
    <row r="55" spans="1:8" ht="12.75">
      <c r="A55" s="82"/>
      <c r="B55" s="65"/>
      <c r="C55" s="7"/>
      <c r="D55" s="48"/>
      <c r="E55" s="7">
        <v>1800</v>
      </c>
      <c r="F55" s="7">
        <v>44</v>
      </c>
      <c r="G55" s="177" t="s">
        <v>274</v>
      </c>
      <c r="H55" s="181" t="s">
        <v>275</v>
      </c>
    </row>
    <row r="56" spans="1:8" ht="12.75">
      <c r="A56" s="181" t="s">
        <v>276</v>
      </c>
      <c r="B56" s="177" t="s">
        <v>274</v>
      </c>
      <c r="C56" s="7">
        <v>45</v>
      </c>
      <c r="D56" s="75">
        <v>1800</v>
      </c>
      <c r="E56" s="48"/>
      <c r="F56" s="7"/>
      <c r="G56" s="178"/>
      <c r="H56" s="182"/>
    </row>
    <row r="57" spans="1:8" ht="12.75">
      <c r="A57" s="182"/>
      <c r="B57" s="178"/>
      <c r="C57" s="7"/>
      <c r="D57" s="75">
        <v>1800</v>
      </c>
      <c r="E57" s="48"/>
      <c r="F57" s="7">
        <v>46</v>
      </c>
      <c r="G57" s="179"/>
      <c r="H57" s="183"/>
    </row>
    <row r="58" spans="1:8" ht="12.75">
      <c r="A58" s="183"/>
      <c r="B58" s="179"/>
      <c r="C58" s="7">
        <v>47</v>
      </c>
      <c r="D58" s="48"/>
      <c r="E58" s="7">
        <v>1800</v>
      </c>
      <c r="F58" s="7"/>
      <c r="G58" s="7"/>
      <c r="H58" s="86"/>
    </row>
    <row r="59" spans="1:8" ht="12.75">
      <c r="A59" s="82"/>
      <c r="B59" s="65"/>
      <c r="C59" s="7"/>
      <c r="D59" s="48"/>
      <c r="E59" s="7">
        <v>1800</v>
      </c>
      <c r="F59" s="7">
        <v>48</v>
      </c>
      <c r="G59" s="177" t="s">
        <v>274</v>
      </c>
      <c r="H59" s="181" t="s">
        <v>277</v>
      </c>
    </row>
    <row r="60" spans="1:8" ht="12.75">
      <c r="A60" s="64" t="s">
        <v>291</v>
      </c>
      <c r="B60" s="65" t="s">
        <v>33</v>
      </c>
      <c r="C60" s="7">
        <v>49</v>
      </c>
      <c r="D60" s="75">
        <v>1000</v>
      </c>
      <c r="E60" s="48"/>
      <c r="F60" s="7"/>
      <c r="G60" s="178"/>
      <c r="H60" s="182"/>
    </row>
    <row r="61" spans="1:8" ht="12.75">
      <c r="A61" s="82"/>
      <c r="B61" s="7"/>
      <c r="C61" s="7"/>
      <c r="D61" s="75">
        <v>1800</v>
      </c>
      <c r="E61" s="48"/>
      <c r="F61" s="7">
        <v>50</v>
      </c>
      <c r="G61" s="179"/>
      <c r="H61" s="183"/>
    </row>
    <row r="62" spans="1:8" ht="12.75">
      <c r="A62" s="64" t="s">
        <v>290</v>
      </c>
      <c r="B62" s="7" t="s">
        <v>33</v>
      </c>
      <c r="C62" s="7">
        <v>51</v>
      </c>
      <c r="D62" s="48"/>
      <c r="E62" s="7">
        <v>1000</v>
      </c>
      <c r="F62" s="7"/>
      <c r="G62" s="7"/>
      <c r="H62" s="86"/>
    </row>
    <row r="63" spans="1:8" ht="12.75">
      <c r="A63" s="82"/>
      <c r="B63" s="65"/>
      <c r="C63" s="7"/>
      <c r="D63" s="48"/>
      <c r="E63" s="95">
        <v>0</v>
      </c>
      <c r="F63" s="7">
        <v>52</v>
      </c>
      <c r="G63" s="177" t="s">
        <v>247</v>
      </c>
      <c r="H63" s="181" t="s">
        <v>135</v>
      </c>
    </row>
    <row r="64" spans="1:8" ht="12.75">
      <c r="A64" s="97" t="s">
        <v>292</v>
      </c>
      <c r="B64" s="65" t="s">
        <v>33</v>
      </c>
      <c r="C64" s="7">
        <v>53</v>
      </c>
      <c r="D64" s="96">
        <v>1000</v>
      </c>
      <c r="E64" s="48"/>
      <c r="F64" s="7"/>
      <c r="G64" s="178"/>
      <c r="H64" s="182"/>
    </row>
    <row r="65" spans="1:8" ht="12.75">
      <c r="A65" s="82"/>
      <c r="B65" s="7"/>
      <c r="C65" s="7"/>
      <c r="D65" s="75">
        <v>0</v>
      </c>
      <c r="E65" s="48"/>
      <c r="F65" s="7">
        <v>54</v>
      </c>
      <c r="G65" s="179"/>
      <c r="H65" s="183"/>
    </row>
    <row r="66" spans="1:8" ht="12.75">
      <c r="A66" s="64" t="s">
        <v>135</v>
      </c>
      <c r="B66" s="7" t="s">
        <v>33</v>
      </c>
      <c r="C66" s="7">
        <v>55</v>
      </c>
      <c r="D66" s="48"/>
      <c r="E66" s="7">
        <v>0</v>
      </c>
      <c r="F66" s="7"/>
      <c r="G66" s="7"/>
      <c r="H66" s="86"/>
    </row>
    <row r="67" spans="1:8" ht="12.75">
      <c r="A67" s="82"/>
      <c r="B67" s="65"/>
      <c r="C67" s="7"/>
      <c r="D67" s="48"/>
      <c r="E67" s="7">
        <v>180</v>
      </c>
      <c r="F67" s="7">
        <v>56</v>
      </c>
      <c r="G67" s="177" t="s">
        <v>247</v>
      </c>
      <c r="H67" s="181" t="s">
        <v>299</v>
      </c>
    </row>
    <row r="68" spans="1:8" ht="12.75">
      <c r="A68" s="181" t="s">
        <v>298</v>
      </c>
      <c r="B68" s="177" t="s">
        <v>247</v>
      </c>
      <c r="C68" s="7">
        <v>57</v>
      </c>
      <c r="D68" s="75">
        <v>240</v>
      </c>
      <c r="E68" s="48"/>
      <c r="F68" s="7"/>
      <c r="G68" s="178"/>
      <c r="H68" s="182"/>
    </row>
    <row r="69" spans="1:8" ht="12.75">
      <c r="A69" s="182"/>
      <c r="B69" s="178"/>
      <c r="C69" s="7"/>
      <c r="D69" s="75">
        <v>180</v>
      </c>
      <c r="E69" s="48"/>
      <c r="F69" s="7">
        <v>58</v>
      </c>
      <c r="G69" s="179"/>
      <c r="H69" s="183"/>
    </row>
    <row r="70" spans="1:8" ht="12.75">
      <c r="A70" s="183"/>
      <c r="B70" s="179"/>
      <c r="C70" s="7">
        <v>59</v>
      </c>
      <c r="D70" s="48"/>
      <c r="E70" s="7">
        <v>240</v>
      </c>
      <c r="F70" s="7"/>
      <c r="G70" s="7"/>
      <c r="H70" s="86"/>
    </row>
    <row r="71" spans="1:8" ht="12.75">
      <c r="A71" s="82"/>
      <c r="B71" s="65"/>
      <c r="C71" s="7"/>
      <c r="D71" s="48"/>
      <c r="E71" s="7">
        <v>0</v>
      </c>
      <c r="F71" s="7">
        <v>60</v>
      </c>
      <c r="G71" s="7" t="s">
        <v>33</v>
      </c>
      <c r="H71" s="66" t="s">
        <v>135</v>
      </c>
    </row>
    <row r="72" spans="1:8" ht="12.75">
      <c r="A72" s="64" t="s">
        <v>304</v>
      </c>
      <c r="B72" s="65" t="s">
        <v>33</v>
      </c>
      <c r="C72" s="7">
        <v>61</v>
      </c>
      <c r="D72" s="75">
        <v>1500</v>
      </c>
      <c r="E72" s="48"/>
      <c r="F72" s="7"/>
      <c r="G72" s="26"/>
      <c r="H72" s="86"/>
    </row>
    <row r="73" spans="1:8" ht="12.75">
      <c r="A73" s="82"/>
      <c r="B73" s="7"/>
      <c r="C73" s="7"/>
      <c r="D73" s="75"/>
      <c r="E73" s="48"/>
      <c r="F73" s="7">
        <v>62</v>
      </c>
      <c r="G73" s="7" t="s">
        <v>33</v>
      </c>
      <c r="H73" s="66" t="s">
        <v>135</v>
      </c>
    </row>
    <row r="74" spans="1:8" ht="12.75">
      <c r="A74" s="64" t="s">
        <v>135</v>
      </c>
      <c r="B74" s="7" t="s">
        <v>33</v>
      </c>
      <c r="C74" s="7">
        <v>63</v>
      </c>
      <c r="D74" s="48"/>
      <c r="E74" s="7"/>
      <c r="F74" s="7"/>
      <c r="G74" s="7"/>
      <c r="H74" s="86"/>
    </row>
    <row r="75" spans="1:8" ht="12.75">
      <c r="A75" s="82"/>
      <c r="B75" s="65"/>
      <c r="C75" s="7"/>
      <c r="D75" s="48"/>
      <c r="E75" s="7"/>
      <c r="F75" s="7">
        <v>64</v>
      </c>
      <c r="G75" s="7" t="s">
        <v>33</v>
      </c>
      <c r="H75" s="66" t="s">
        <v>135</v>
      </c>
    </row>
    <row r="76" spans="1:8" ht="12.75">
      <c r="A76" s="64" t="s">
        <v>135</v>
      </c>
      <c r="B76" s="65" t="s">
        <v>33</v>
      </c>
      <c r="C76" s="7">
        <v>65</v>
      </c>
      <c r="D76" s="75"/>
      <c r="E76" s="48"/>
      <c r="F76" s="7"/>
      <c r="G76" s="26"/>
      <c r="H76" s="86"/>
    </row>
    <row r="77" spans="1:8" ht="12.75">
      <c r="A77" s="82"/>
      <c r="B77" s="7"/>
      <c r="C77" s="7"/>
      <c r="D77" s="75"/>
      <c r="E77" s="48"/>
      <c r="F77" s="7"/>
      <c r="G77" s="7" t="s">
        <v>33</v>
      </c>
      <c r="H77" s="66" t="s">
        <v>135</v>
      </c>
    </row>
    <row r="78" spans="1:8" ht="12.75">
      <c r="A78" s="64" t="s">
        <v>135</v>
      </c>
      <c r="B78" s="7" t="s">
        <v>33</v>
      </c>
      <c r="C78" s="7">
        <v>67</v>
      </c>
      <c r="D78" s="48"/>
      <c r="E78" s="7"/>
      <c r="F78" s="7">
        <v>66</v>
      </c>
      <c r="G78" s="7"/>
      <c r="H78" s="86"/>
    </row>
    <row r="79" spans="1:8" ht="12.75">
      <c r="A79" s="82"/>
      <c r="B79" s="65"/>
      <c r="C79" s="7"/>
      <c r="D79" s="48"/>
      <c r="E79" s="7"/>
      <c r="F79" s="7"/>
      <c r="G79" s="7" t="s">
        <v>33</v>
      </c>
      <c r="H79" s="66" t="s">
        <v>135</v>
      </c>
    </row>
    <row r="80" spans="1:8" ht="12.75">
      <c r="A80" s="64" t="s">
        <v>135</v>
      </c>
      <c r="B80" s="65" t="s">
        <v>33</v>
      </c>
      <c r="C80" s="7">
        <v>69</v>
      </c>
      <c r="D80" s="75"/>
      <c r="E80" s="48"/>
      <c r="F80" s="7">
        <v>68</v>
      </c>
      <c r="G80" s="26"/>
      <c r="H80" s="86"/>
    </row>
    <row r="81" spans="1:8" ht="12.75">
      <c r="A81" s="82"/>
      <c r="B81" s="7"/>
      <c r="C81" s="7"/>
      <c r="D81" s="75"/>
      <c r="E81" s="48"/>
      <c r="F81" s="7"/>
      <c r="G81" s="7" t="s">
        <v>33</v>
      </c>
      <c r="H81" s="66" t="s">
        <v>135</v>
      </c>
    </row>
    <row r="82" spans="1:8" ht="12.75">
      <c r="A82" s="64" t="s">
        <v>135</v>
      </c>
      <c r="B82" s="7" t="s">
        <v>33</v>
      </c>
      <c r="C82" s="7">
        <v>71</v>
      </c>
      <c r="D82" s="48"/>
      <c r="E82" s="7"/>
      <c r="F82" s="7">
        <v>70</v>
      </c>
      <c r="G82" s="7"/>
      <c r="H82" s="86"/>
    </row>
    <row r="83" spans="1:8" ht="12.75">
      <c r="A83" s="82"/>
      <c r="B83" s="65"/>
      <c r="C83" s="7"/>
      <c r="D83" s="48"/>
      <c r="E83" s="7"/>
      <c r="F83" s="7"/>
      <c r="G83" s="7" t="s">
        <v>33</v>
      </c>
      <c r="H83" s="66" t="s">
        <v>135</v>
      </c>
    </row>
    <row r="84" spans="1:8" ht="12.75">
      <c r="A84" s="82" t="s">
        <v>53</v>
      </c>
      <c r="B84" s="31"/>
      <c r="C84" s="29"/>
      <c r="D84" s="32">
        <f>SUM(D12:D83)</f>
        <v>18235</v>
      </c>
      <c r="E84" s="32">
        <f>SUM(E12:E83)</f>
        <v>16435</v>
      </c>
      <c r="F84" s="42" t="s">
        <v>40</v>
      </c>
      <c r="G84" s="43"/>
      <c r="H84" s="86"/>
    </row>
    <row r="85" spans="1:8" ht="12.75">
      <c r="A85" s="82"/>
      <c r="B85" s="31"/>
      <c r="C85" s="29"/>
      <c r="D85" s="32"/>
      <c r="E85" s="32"/>
      <c r="F85" s="44"/>
      <c r="G85" s="28"/>
      <c r="H85" s="91"/>
    </row>
    <row r="86" spans="1:8" ht="12.75">
      <c r="A86" s="82" t="s">
        <v>35</v>
      </c>
      <c r="B86" s="31"/>
      <c r="C86" s="29"/>
      <c r="D86" s="32">
        <f>D84/120</f>
        <v>151.95833333333334</v>
      </c>
      <c r="E86" s="32">
        <f>E84/120</f>
        <v>136.95833333333334</v>
      </c>
      <c r="F86" s="44"/>
      <c r="G86" s="28"/>
      <c r="H86" s="91"/>
    </row>
    <row r="87" spans="1:8" ht="12.75">
      <c r="A87" s="82"/>
      <c r="B87" s="31"/>
      <c r="C87" s="29"/>
      <c r="D87" s="32"/>
      <c r="E87" s="32"/>
      <c r="F87" s="44"/>
      <c r="G87" s="28"/>
      <c r="H87" s="91"/>
    </row>
    <row r="88" spans="1:8" ht="12.75">
      <c r="A88" s="82" t="s">
        <v>54</v>
      </c>
      <c r="B88" s="31"/>
      <c r="C88" s="29"/>
      <c r="D88" s="32">
        <f>(D12+D13+D16+D17+D36+D37+D48+D68+D69)/4</f>
        <v>528.75</v>
      </c>
      <c r="E88" s="32">
        <f>(E14+E15+E18+E50+E38+E67+E70)/4</f>
        <v>338.75</v>
      </c>
      <c r="F88" s="44"/>
      <c r="G88" s="28"/>
      <c r="H88" s="91"/>
    </row>
    <row r="89" spans="1:8" ht="12.75">
      <c r="A89" s="82"/>
      <c r="B89" s="31"/>
      <c r="C89" s="29"/>
      <c r="D89" s="32"/>
      <c r="E89" s="32"/>
      <c r="F89" s="44"/>
      <c r="G89" s="28"/>
      <c r="H89" s="91"/>
    </row>
    <row r="90" spans="1:8" ht="12.75">
      <c r="A90" s="82" t="s">
        <v>36</v>
      </c>
      <c r="B90" s="31"/>
      <c r="C90" s="29"/>
      <c r="D90" s="32">
        <f>0.25*D72</f>
        <v>375</v>
      </c>
      <c r="E90" s="32">
        <f>0.25*E71</f>
        <v>0</v>
      </c>
      <c r="F90" s="44"/>
      <c r="G90" s="28"/>
      <c r="H90" s="91"/>
    </row>
    <row r="91" spans="1:8" ht="12.75">
      <c r="A91" s="82"/>
      <c r="B91" s="31"/>
      <c r="C91" s="29"/>
      <c r="D91" s="32"/>
      <c r="E91" s="32"/>
      <c r="F91" s="44"/>
      <c r="G91" s="28"/>
      <c r="H91" s="91"/>
    </row>
    <row r="92" spans="1:8" ht="12.75">
      <c r="A92" s="82" t="s">
        <v>55</v>
      </c>
      <c r="B92" s="31"/>
      <c r="C92" s="29"/>
      <c r="D92" s="32">
        <f>D84+D88+D90</f>
        <v>19138.75</v>
      </c>
      <c r="E92" s="32">
        <f>E84+E88+E90</f>
        <v>16773.75</v>
      </c>
      <c r="F92" s="44"/>
      <c r="G92" s="28"/>
      <c r="H92" s="91"/>
    </row>
    <row r="93" spans="1:8" ht="12.75">
      <c r="A93" s="82"/>
      <c r="B93" s="31"/>
      <c r="C93" s="29"/>
      <c r="D93" s="32"/>
      <c r="E93" s="32"/>
      <c r="F93" s="44"/>
      <c r="G93" s="28"/>
      <c r="H93" s="91"/>
    </row>
    <row r="94" spans="1:8" ht="12.75">
      <c r="A94" s="82" t="s">
        <v>56</v>
      </c>
      <c r="B94" s="31"/>
      <c r="C94" s="29"/>
      <c r="D94" s="32">
        <f>D92/120</f>
        <v>159.48958333333334</v>
      </c>
      <c r="E94" s="32">
        <f>E92/120</f>
        <v>139.78125</v>
      </c>
      <c r="F94" s="45"/>
      <c r="G94" s="46"/>
      <c r="H94" s="92"/>
    </row>
    <row r="198" ht="12.75">
      <c r="J198" s="5"/>
    </row>
  </sheetData>
  <sheetProtection/>
  <mergeCells count="19">
    <mergeCell ref="G63:G65"/>
    <mergeCell ref="H55:H57"/>
    <mergeCell ref="A52:A54"/>
    <mergeCell ref="B3:H3"/>
    <mergeCell ref="B4:H4"/>
    <mergeCell ref="B5:H5"/>
    <mergeCell ref="H29:H31"/>
    <mergeCell ref="G29:G31"/>
    <mergeCell ref="B52:B54"/>
    <mergeCell ref="B68:B70"/>
    <mergeCell ref="G67:G69"/>
    <mergeCell ref="H67:H69"/>
    <mergeCell ref="A68:A70"/>
    <mergeCell ref="G55:G57"/>
    <mergeCell ref="B56:B58"/>
    <mergeCell ref="G59:G61"/>
    <mergeCell ref="A56:A58"/>
    <mergeCell ref="H59:H61"/>
    <mergeCell ref="H63:H65"/>
  </mergeCells>
  <printOptions/>
  <pageMargins left="0.75" right="0.75" top="1" bottom="1" header="0.5" footer="0.5"/>
  <pageSetup horizontalDpi="300" verticalDpi="300" orientation="portrait" scale="63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77"/>
  <sheetViews>
    <sheetView zoomScalePageLayoutView="0" workbookViewId="0" topLeftCell="A34">
      <selection activeCell="A10" sqref="A10:I77"/>
    </sheetView>
  </sheetViews>
  <sheetFormatPr defaultColWidth="9.140625" defaultRowHeight="12.75"/>
  <cols>
    <col min="1" max="1" width="40.57421875" style="2" customWidth="1"/>
    <col min="2" max="2" width="10.7109375" style="2" customWidth="1"/>
    <col min="3" max="3" width="11.7109375" style="2" customWidth="1"/>
    <col min="4" max="6" width="13.7109375" style="2" customWidth="1"/>
    <col min="7" max="7" width="11.7109375" style="2" customWidth="1"/>
    <col min="8" max="8" width="10.7109375" style="2" customWidth="1"/>
    <col min="9" max="9" width="37.8515625" style="2" customWidth="1"/>
    <col min="10" max="11" width="9.140625" style="2" customWidth="1"/>
    <col min="12" max="12" width="21.7109375" style="2" bestFit="1" customWidth="1"/>
    <col min="13" max="16384" width="9.140625" style="2" customWidth="1"/>
  </cols>
  <sheetData>
    <row r="1" spans="1:10" ht="12.7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2" ht="12.75">
      <c r="A3" s="3" t="s">
        <v>0</v>
      </c>
      <c r="B3" s="180" t="str">
        <f ca="1">MID(CELL("filename"),SEARCH("[",CELL("filename"))+1,SEARCH("]",CELL("filename"))-SEARCH("[",CELL("filename"))-1)</f>
        <v>01 Las Gallinas Electrical Calculations.xls</v>
      </c>
      <c r="C3" s="180"/>
      <c r="D3" s="180"/>
      <c r="E3" s="180"/>
      <c r="F3" s="180"/>
      <c r="G3" s="180"/>
      <c r="H3" s="180"/>
      <c r="I3" s="180"/>
      <c r="J3" s="5"/>
      <c r="L3" s="2" t="s">
        <v>57</v>
      </c>
    </row>
    <row r="4" spans="1:10" ht="12.75">
      <c r="A4" s="3" t="s">
        <v>1</v>
      </c>
      <c r="B4" s="172"/>
      <c r="C4" s="172"/>
      <c r="D4" s="172"/>
      <c r="E4" s="172"/>
      <c r="F4" s="172"/>
      <c r="G4" s="172"/>
      <c r="H4" s="172"/>
      <c r="I4" s="172"/>
      <c r="J4" s="5"/>
    </row>
    <row r="5" spans="1:12" ht="12.75">
      <c r="A5" s="3" t="s">
        <v>2</v>
      </c>
      <c r="B5" s="171"/>
      <c r="C5" s="171"/>
      <c r="D5" s="171"/>
      <c r="E5" s="171"/>
      <c r="F5" s="171"/>
      <c r="G5" s="171"/>
      <c r="H5" s="171"/>
      <c r="I5" s="171"/>
      <c r="J5" s="5"/>
      <c r="L5" s="4">
        <v>30</v>
      </c>
    </row>
    <row r="6" spans="10:12" ht="12.75">
      <c r="J6" s="5"/>
      <c r="L6" s="4">
        <v>42</v>
      </c>
    </row>
    <row r="7" ht="12.75">
      <c r="L7" s="4">
        <v>54</v>
      </c>
    </row>
    <row r="8" ht="12.75">
      <c r="L8" s="4">
        <v>72</v>
      </c>
    </row>
    <row r="9" spans="1:12" ht="12.75">
      <c r="A9" s="67"/>
      <c r="B9" s="21"/>
      <c r="C9" s="67"/>
      <c r="D9" s="68"/>
      <c r="E9" s="67"/>
      <c r="F9" s="69"/>
      <c r="G9" s="67"/>
      <c r="H9" s="21"/>
      <c r="I9" s="21"/>
      <c r="L9" s="4"/>
    </row>
    <row r="10" spans="1:9" ht="12.75">
      <c r="A10" s="25" t="s">
        <v>14</v>
      </c>
      <c r="B10" s="6" t="s">
        <v>113</v>
      </c>
      <c r="C10" s="25" t="s">
        <v>15</v>
      </c>
      <c r="D10" s="27" t="s">
        <v>16</v>
      </c>
      <c r="E10" s="25" t="s">
        <v>17</v>
      </c>
      <c r="F10" s="14" t="s">
        <v>114</v>
      </c>
      <c r="G10" s="25" t="s">
        <v>19</v>
      </c>
      <c r="H10" s="6" t="s">
        <v>114</v>
      </c>
      <c r="I10" s="6"/>
    </row>
    <row r="11" spans="1:9" ht="12.75">
      <c r="A11" s="25" t="s">
        <v>20</v>
      </c>
      <c r="B11" s="6" t="s">
        <v>21</v>
      </c>
      <c r="C11" s="25" t="s">
        <v>22</v>
      </c>
      <c r="D11" s="6" t="s">
        <v>23</v>
      </c>
      <c r="E11" s="59" t="s">
        <v>24</v>
      </c>
      <c r="F11" s="6" t="s">
        <v>25</v>
      </c>
      <c r="G11" s="59" t="s">
        <v>26</v>
      </c>
      <c r="H11" s="6" t="s">
        <v>25</v>
      </c>
      <c r="I11" s="6"/>
    </row>
    <row r="12" spans="1:9" ht="12.75">
      <c r="A12" s="25" t="s">
        <v>27</v>
      </c>
      <c r="B12" s="7" t="s">
        <v>28</v>
      </c>
      <c r="C12" s="7" t="s">
        <v>29</v>
      </c>
      <c r="D12" s="7" t="s">
        <v>30</v>
      </c>
      <c r="E12" s="7" t="s">
        <v>31</v>
      </c>
      <c r="F12" s="7" t="s">
        <v>32</v>
      </c>
      <c r="G12" s="7" t="s">
        <v>29</v>
      </c>
      <c r="H12" s="7" t="s">
        <v>28</v>
      </c>
      <c r="I12" s="6" t="s">
        <v>27</v>
      </c>
    </row>
    <row r="13" spans="1:9" ht="12.75">
      <c r="A13" s="14" t="s">
        <v>115</v>
      </c>
      <c r="B13" s="7" t="s">
        <v>33</v>
      </c>
      <c r="C13" s="7">
        <v>1</v>
      </c>
      <c r="D13" s="60">
        <f>49*10</f>
        <v>490</v>
      </c>
      <c r="E13" s="61"/>
      <c r="F13" s="61"/>
      <c r="G13" s="7"/>
      <c r="H13" s="7"/>
      <c r="I13" s="6"/>
    </row>
    <row r="14" spans="1:9" ht="12.75">
      <c r="A14" s="14"/>
      <c r="B14" s="7"/>
      <c r="C14" s="7"/>
      <c r="D14" s="60">
        <f>49*8</f>
        <v>392</v>
      </c>
      <c r="E14" s="61"/>
      <c r="F14" s="61"/>
      <c r="G14" s="7">
        <v>2</v>
      </c>
      <c r="H14" s="7" t="s">
        <v>33</v>
      </c>
      <c r="I14" s="6" t="s">
        <v>116</v>
      </c>
    </row>
    <row r="15" spans="1:9" ht="12.75">
      <c r="A15" s="6" t="s">
        <v>117</v>
      </c>
      <c r="B15" s="7" t="s">
        <v>33</v>
      </c>
      <c r="C15" s="7">
        <v>3</v>
      </c>
      <c r="D15" s="61"/>
      <c r="E15" s="60">
        <f>49*8</f>
        <v>392</v>
      </c>
      <c r="F15" s="61"/>
      <c r="G15" s="7"/>
      <c r="H15" s="26"/>
      <c r="I15" s="6"/>
    </row>
    <row r="16" spans="1:9" ht="12.75">
      <c r="A16" s="14"/>
      <c r="B16" s="7"/>
      <c r="C16" s="7"/>
      <c r="D16" s="61"/>
      <c r="E16" s="60">
        <f>60*2</f>
        <v>120</v>
      </c>
      <c r="F16" s="61"/>
      <c r="G16" s="7">
        <v>4</v>
      </c>
      <c r="H16" s="7" t="s">
        <v>33</v>
      </c>
      <c r="I16" s="14" t="s">
        <v>118</v>
      </c>
    </row>
    <row r="17" spans="1:9" ht="12.75">
      <c r="A17" s="6" t="s">
        <v>119</v>
      </c>
      <c r="B17" s="7" t="s">
        <v>33</v>
      </c>
      <c r="C17" s="7">
        <v>5</v>
      </c>
      <c r="D17" s="61"/>
      <c r="E17" s="61"/>
      <c r="F17" s="60">
        <f>49*10</f>
        <v>490</v>
      </c>
      <c r="G17" s="7"/>
      <c r="H17" s="7"/>
      <c r="I17" s="6"/>
    </row>
    <row r="18" spans="1:9" ht="12.75">
      <c r="A18" s="14"/>
      <c r="B18" s="26"/>
      <c r="C18" s="7"/>
      <c r="D18" s="61"/>
      <c r="E18" s="61"/>
      <c r="F18" s="60">
        <f>60*2</f>
        <v>120</v>
      </c>
      <c r="G18" s="7">
        <v>6</v>
      </c>
      <c r="H18" s="7" t="s">
        <v>33</v>
      </c>
      <c r="I18" s="14" t="s">
        <v>120</v>
      </c>
    </row>
    <row r="19" spans="1:9" ht="12.75">
      <c r="A19" s="14" t="s">
        <v>121</v>
      </c>
      <c r="B19" s="7" t="s">
        <v>33</v>
      </c>
      <c r="C19" s="7">
        <v>7</v>
      </c>
      <c r="D19" s="60">
        <f>180*3</f>
        <v>540</v>
      </c>
      <c r="E19" s="61"/>
      <c r="F19" s="61"/>
      <c r="G19" s="7"/>
      <c r="H19" s="26"/>
      <c r="I19" s="6"/>
    </row>
    <row r="20" spans="1:9" ht="12.75">
      <c r="A20" s="14"/>
      <c r="B20" s="7"/>
      <c r="C20" s="7"/>
      <c r="D20" s="60">
        <f>180*3</f>
        <v>540</v>
      </c>
      <c r="E20" s="61"/>
      <c r="F20" s="61"/>
      <c r="G20" s="7">
        <v>8</v>
      </c>
      <c r="H20" s="7" t="s">
        <v>33</v>
      </c>
      <c r="I20" s="14" t="s">
        <v>122</v>
      </c>
    </row>
    <row r="21" spans="1:9" ht="12.75">
      <c r="A21" s="14" t="s">
        <v>123</v>
      </c>
      <c r="B21" s="7" t="s">
        <v>33</v>
      </c>
      <c r="C21" s="7">
        <v>9</v>
      </c>
      <c r="D21" s="61"/>
      <c r="E21" s="60">
        <f>180*3</f>
        <v>540</v>
      </c>
      <c r="F21" s="61"/>
      <c r="G21" s="7"/>
      <c r="H21" s="7"/>
      <c r="I21" s="6"/>
    </row>
    <row r="22" spans="1:9" ht="12.75">
      <c r="A22" s="27"/>
      <c r="B22" s="7"/>
      <c r="C22" s="7"/>
      <c r="D22" s="61"/>
      <c r="E22" s="60">
        <f>49*11</f>
        <v>539</v>
      </c>
      <c r="F22" s="61"/>
      <c r="G22" s="7">
        <v>10</v>
      </c>
      <c r="H22" s="7" t="s">
        <v>33</v>
      </c>
      <c r="I22" s="14" t="s">
        <v>124</v>
      </c>
    </row>
    <row r="23" spans="1:9" ht="12.75">
      <c r="A23" s="14" t="s">
        <v>125</v>
      </c>
      <c r="B23" s="7" t="s">
        <v>33</v>
      </c>
      <c r="C23" s="7">
        <v>11</v>
      </c>
      <c r="D23" s="61"/>
      <c r="E23" s="61"/>
      <c r="F23" s="60">
        <f>49*12</f>
        <v>588</v>
      </c>
      <c r="G23" s="7"/>
      <c r="H23" s="26"/>
      <c r="I23" s="6"/>
    </row>
    <row r="24" spans="1:9" ht="12.75">
      <c r="A24" s="14"/>
      <c r="B24" s="7"/>
      <c r="C24" s="7"/>
      <c r="D24" s="61"/>
      <c r="E24" s="61"/>
      <c r="F24" s="60">
        <f>180*3</f>
        <v>540</v>
      </c>
      <c r="G24" s="7">
        <v>12</v>
      </c>
      <c r="H24" s="7" t="s">
        <v>33</v>
      </c>
      <c r="I24" s="6" t="s">
        <v>126</v>
      </c>
    </row>
    <row r="25" spans="1:9" ht="12.75">
      <c r="A25" s="6" t="s">
        <v>127</v>
      </c>
      <c r="B25" s="7" t="s">
        <v>33</v>
      </c>
      <c r="C25" s="7">
        <v>13</v>
      </c>
      <c r="D25" s="60">
        <f>180*3</f>
        <v>540</v>
      </c>
      <c r="E25" s="61"/>
      <c r="F25" s="61"/>
      <c r="G25" s="7"/>
      <c r="H25" s="7"/>
      <c r="I25" s="6"/>
    </row>
    <row r="26" spans="1:9" ht="12.75">
      <c r="A26" s="14"/>
      <c r="B26" s="7"/>
      <c r="C26" s="7"/>
      <c r="D26" s="60">
        <f>49*3</f>
        <v>147</v>
      </c>
      <c r="E26" s="61"/>
      <c r="F26" s="61"/>
      <c r="G26" s="7">
        <v>14</v>
      </c>
      <c r="H26" s="7" t="s">
        <v>33</v>
      </c>
      <c r="I26" s="6" t="s">
        <v>128</v>
      </c>
    </row>
    <row r="27" spans="1:9" ht="12.75">
      <c r="A27" s="6" t="s">
        <v>129</v>
      </c>
      <c r="B27" s="7" t="s">
        <v>33</v>
      </c>
      <c r="C27" s="7">
        <v>15</v>
      </c>
      <c r="D27" s="61"/>
      <c r="E27" s="60">
        <f>180*2</f>
        <v>360</v>
      </c>
      <c r="F27" s="61"/>
      <c r="G27" s="7"/>
      <c r="H27" s="7"/>
      <c r="I27" s="6"/>
    </row>
    <row r="28" spans="1:9" ht="12.75">
      <c r="A28" s="14"/>
      <c r="B28" s="7"/>
      <c r="C28" s="7"/>
      <c r="D28" s="61"/>
      <c r="E28" s="60">
        <f>180*2</f>
        <v>360</v>
      </c>
      <c r="F28" s="61"/>
      <c r="G28" s="7">
        <v>16</v>
      </c>
      <c r="H28" s="7" t="s">
        <v>33</v>
      </c>
      <c r="I28" s="6" t="s">
        <v>130</v>
      </c>
    </row>
    <row r="29" spans="1:9" ht="12.75">
      <c r="A29" s="14" t="s">
        <v>131</v>
      </c>
      <c r="B29" s="7" t="s">
        <v>33</v>
      </c>
      <c r="C29" s="7">
        <v>17</v>
      </c>
      <c r="D29" s="61"/>
      <c r="E29" s="61"/>
      <c r="F29" s="60">
        <f>2.4*4</f>
        <v>9.6</v>
      </c>
      <c r="G29" s="7"/>
      <c r="H29" s="7"/>
      <c r="I29" s="6"/>
    </row>
    <row r="30" spans="1:9" ht="12.75">
      <c r="A30" s="14"/>
      <c r="B30" s="7"/>
      <c r="C30" s="7"/>
      <c r="D30" s="61"/>
      <c r="E30" s="61"/>
      <c r="F30" s="60">
        <f>9.8*120</f>
        <v>1176</v>
      </c>
      <c r="G30" s="7">
        <v>18</v>
      </c>
      <c r="H30" s="7" t="s">
        <v>33</v>
      </c>
      <c r="I30" s="6" t="s">
        <v>132</v>
      </c>
    </row>
    <row r="31" spans="1:9" ht="12.75">
      <c r="A31" s="14" t="s">
        <v>133</v>
      </c>
      <c r="B31" s="7" t="s">
        <v>33</v>
      </c>
      <c r="C31" s="7">
        <v>19</v>
      </c>
      <c r="D31" s="62">
        <v>56</v>
      </c>
      <c r="E31" s="61"/>
      <c r="F31" s="61"/>
      <c r="G31" s="7"/>
      <c r="H31" s="7"/>
      <c r="I31" s="6"/>
    </row>
    <row r="32" spans="1:9" ht="12.75">
      <c r="A32" s="14"/>
      <c r="B32" s="7"/>
      <c r="C32" s="7"/>
      <c r="D32" s="62">
        <v>56</v>
      </c>
      <c r="E32" s="61"/>
      <c r="F32" s="61"/>
      <c r="G32" s="7">
        <v>20</v>
      </c>
      <c r="H32" s="7" t="s">
        <v>33</v>
      </c>
      <c r="I32" s="14" t="s">
        <v>134</v>
      </c>
    </row>
    <row r="33" spans="1:9" ht="12.75">
      <c r="A33" s="14" t="s">
        <v>135</v>
      </c>
      <c r="B33" s="7" t="s">
        <v>33</v>
      </c>
      <c r="C33" s="7">
        <v>21</v>
      </c>
      <c r="D33" s="61"/>
      <c r="E33" s="62"/>
      <c r="F33" s="61"/>
      <c r="G33" s="7"/>
      <c r="H33" s="7"/>
      <c r="I33" s="6"/>
    </row>
    <row r="34" spans="1:9" ht="12.75">
      <c r="A34" s="14"/>
      <c r="B34" s="7"/>
      <c r="C34" s="7"/>
      <c r="D34" s="61"/>
      <c r="E34" s="62">
        <v>1176</v>
      </c>
      <c r="F34" s="61"/>
      <c r="G34" s="7">
        <v>22</v>
      </c>
      <c r="H34" s="7" t="s">
        <v>33</v>
      </c>
      <c r="I34" s="6" t="s">
        <v>136</v>
      </c>
    </row>
    <row r="35" spans="1:9" ht="12.75">
      <c r="A35" s="14" t="s">
        <v>137</v>
      </c>
      <c r="B35" s="7" t="s">
        <v>33</v>
      </c>
      <c r="C35" s="7">
        <v>23</v>
      </c>
      <c r="D35" s="61"/>
      <c r="E35" s="61"/>
      <c r="F35" s="60">
        <v>300</v>
      </c>
      <c r="G35" s="7"/>
      <c r="H35" s="7"/>
      <c r="I35" s="6"/>
    </row>
    <row r="36" spans="1:9" ht="12.75">
      <c r="A36" s="14"/>
      <c r="B36" s="7"/>
      <c r="C36" s="7"/>
      <c r="D36" s="61"/>
      <c r="E36" s="61"/>
      <c r="F36" s="60">
        <v>1200</v>
      </c>
      <c r="G36" s="7">
        <v>24</v>
      </c>
      <c r="H36" s="7" t="s">
        <v>33</v>
      </c>
      <c r="I36" s="6" t="s">
        <v>138</v>
      </c>
    </row>
    <row r="37" spans="1:9" ht="12.75">
      <c r="A37" s="14" t="s">
        <v>139</v>
      </c>
      <c r="B37" s="7" t="s">
        <v>33</v>
      </c>
      <c r="C37" s="7">
        <v>25</v>
      </c>
      <c r="D37" s="60">
        <v>1200</v>
      </c>
      <c r="E37" s="61"/>
      <c r="F37" s="61"/>
      <c r="G37" s="7"/>
      <c r="H37" s="7"/>
      <c r="I37" s="6"/>
    </row>
    <row r="38" spans="1:9" ht="12.75">
      <c r="A38" s="14"/>
      <c r="B38" s="7"/>
      <c r="C38" s="7"/>
      <c r="D38" s="63">
        <v>1200</v>
      </c>
      <c r="E38" s="61"/>
      <c r="F38" s="61"/>
      <c r="G38" s="7">
        <v>26</v>
      </c>
      <c r="H38" s="7" t="s">
        <v>33</v>
      </c>
      <c r="I38" s="14" t="s">
        <v>140</v>
      </c>
    </row>
    <row r="39" spans="1:9" ht="12.75">
      <c r="A39" s="14" t="s">
        <v>141</v>
      </c>
      <c r="B39" s="7" t="s">
        <v>33</v>
      </c>
      <c r="C39" s="7">
        <v>27</v>
      </c>
      <c r="D39" s="61"/>
      <c r="E39" s="62">
        <v>100</v>
      </c>
      <c r="F39" s="61"/>
      <c r="G39" s="7"/>
      <c r="H39" s="7"/>
      <c r="I39" s="6"/>
    </row>
    <row r="40" spans="1:9" ht="12.75">
      <c r="A40" s="14"/>
      <c r="B40" s="7"/>
      <c r="C40" s="7"/>
      <c r="D40" s="61"/>
      <c r="E40" s="62">
        <v>100</v>
      </c>
      <c r="F40" s="61"/>
      <c r="G40" s="7">
        <v>28</v>
      </c>
      <c r="H40" s="7" t="s">
        <v>33</v>
      </c>
      <c r="I40" s="6" t="s">
        <v>142</v>
      </c>
    </row>
    <row r="41" spans="1:9" ht="12.75">
      <c r="A41" s="14" t="s">
        <v>143</v>
      </c>
      <c r="B41" s="7" t="s">
        <v>33</v>
      </c>
      <c r="C41" s="7">
        <v>29</v>
      </c>
      <c r="D41" s="61"/>
      <c r="E41" s="61"/>
      <c r="F41" s="60">
        <v>1200</v>
      </c>
      <c r="G41" s="7"/>
      <c r="H41" s="7"/>
      <c r="I41" s="6"/>
    </row>
    <row r="42" spans="1:9" ht="12.75">
      <c r="A42" s="14"/>
      <c r="B42" s="7"/>
      <c r="C42" s="7"/>
      <c r="D42" s="61"/>
      <c r="E42" s="61"/>
      <c r="F42" s="60">
        <v>100</v>
      </c>
      <c r="G42" s="7">
        <v>30</v>
      </c>
      <c r="H42" s="7" t="s">
        <v>33</v>
      </c>
      <c r="I42" s="6" t="s">
        <v>144</v>
      </c>
    </row>
    <row r="43" spans="1:9" ht="12.75">
      <c r="A43" s="6" t="s">
        <v>145</v>
      </c>
      <c r="B43" s="7" t="s">
        <v>33</v>
      </c>
      <c r="C43" s="7">
        <v>31</v>
      </c>
      <c r="D43" s="60">
        <f>9.8*120</f>
        <v>1176</v>
      </c>
      <c r="E43" s="61"/>
      <c r="F43" s="61"/>
      <c r="G43" s="7"/>
      <c r="H43" s="7"/>
      <c r="I43" s="6"/>
    </row>
    <row r="44" spans="1:9" ht="12.75">
      <c r="A44" s="14"/>
      <c r="B44" s="7"/>
      <c r="C44" s="7"/>
      <c r="D44" s="60">
        <v>100</v>
      </c>
      <c r="E44" s="61"/>
      <c r="F44" s="61"/>
      <c r="G44" s="7">
        <v>32</v>
      </c>
      <c r="H44" s="7" t="s">
        <v>33</v>
      </c>
      <c r="I44" s="6" t="s">
        <v>146</v>
      </c>
    </row>
    <row r="45" spans="1:9" ht="12.75">
      <c r="A45" s="6" t="s">
        <v>147</v>
      </c>
      <c r="B45" s="7" t="s">
        <v>33</v>
      </c>
      <c r="C45" s="7">
        <v>33</v>
      </c>
      <c r="D45" s="61"/>
      <c r="E45" s="60">
        <f>9.8*120</f>
        <v>1176</v>
      </c>
      <c r="F45" s="61"/>
      <c r="G45" s="7"/>
      <c r="H45" s="7"/>
      <c r="I45" s="6"/>
    </row>
    <row r="46" spans="1:9" ht="12.75">
      <c r="A46" s="14"/>
      <c r="B46" s="7"/>
      <c r="C46" s="7"/>
      <c r="D46" s="61"/>
      <c r="E46" s="62">
        <v>100</v>
      </c>
      <c r="F46" s="61"/>
      <c r="G46" s="7">
        <v>34</v>
      </c>
      <c r="H46" s="7" t="s">
        <v>33</v>
      </c>
      <c r="I46" s="6" t="s">
        <v>148</v>
      </c>
    </row>
    <row r="47" spans="1:9" ht="12.75">
      <c r="A47" s="6" t="s">
        <v>149</v>
      </c>
      <c r="B47" s="7" t="s">
        <v>33</v>
      </c>
      <c r="C47" s="7">
        <v>35</v>
      </c>
      <c r="D47" s="61"/>
      <c r="E47" s="61"/>
      <c r="F47" s="60">
        <f>9.8*120</f>
        <v>1176</v>
      </c>
      <c r="G47" s="7"/>
      <c r="H47" s="7"/>
      <c r="I47" s="6"/>
    </row>
    <row r="48" spans="1:9" ht="12.75">
      <c r="A48" s="14"/>
      <c r="B48" s="7"/>
      <c r="C48" s="7"/>
      <c r="D48" s="61"/>
      <c r="E48" s="61"/>
      <c r="F48" s="60">
        <v>500</v>
      </c>
      <c r="G48" s="7">
        <v>36</v>
      </c>
      <c r="H48" s="7" t="s">
        <v>33</v>
      </c>
      <c r="I48" s="6" t="s">
        <v>150</v>
      </c>
    </row>
    <row r="49" spans="1:9" ht="12.75">
      <c r="A49" s="66" t="s">
        <v>151</v>
      </c>
      <c r="B49" s="65" t="s">
        <v>152</v>
      </c>
      <c r="C49" s="7">
        <v>37</v>
      </c>
      <c r="D49" s="63">
        <v>2600</v>
      </c>
      <c r="E49" s="61"/>
      <c r="F49" s="61"/>
      <c r="G49" s="7"/>
      <c r="H49" s="7"/>
      <c r="I49" s="6"/>
    </row>
    <row r="50" spans="1:9" ht="12.75">
      <c r="A50" s="66"/>
      <c r="B50" s="65"/>
      <c r="C50" s="7"/>
      <c r="D50" s="63">
        <v>200</v>
      </c>
      <c r="E50" s="61"/>
      <c r="F50" s="61"/>
      <c r="G50" s="7">
        <v>38</v>
      </c>
      <c r="H50" s="7" t="s">
        <v>33</v>
      </c>
      <c r="I50" s="64" t="s">
        <v>153</v>
      </c>
    </row>
    <row r="51" spans="1:9" ht="12.75">
      <c r="A51" s="66"/>
      <c r="B51" s="65"/>
      <c r="C51" s="7">
        <v>39</v>
      </c>
      <c r="D51" s="61"/>
      <c r="E51" s="62">
        <v>2600</v>
      </c>
      <c r="F51" s="61"/>
      <c r="G51" s="7"/>
      <c r="H51" s="7"/>
      <c r="I51" s="64"/>
    </row>
    <row r="52" spans="1:9" ht="12.75">
      <c r="A52" s="14"/>
      <c r="B52" s="7"/>
      <c r="C52" s="7"/>
      <c r="D52" s="61"/>
      <c r="E52" s="62">
        <v>2600</v>
      </c>
      <c r="F52" s="61"/>
      <c r="G52" s="7">
        <v>40</v>
      </c>
      <c r="H52" s="177" t="s">
        <v>152</v>
      </c>
      <c r="I52" s="181" t="s">
        <v>154</v>
      </c>
    </row>
    <row r="53" spans="1:9" ht="12.75">
      <c r="A53" s="6" t="s">
        <v>155</v>
      </c>
      <c r="B53" s="7" t="s">
        <v>33</v>
      </c>
      <c r="C53" s="7">
        <v>41</v>
      </c>
      <c r="D53" s="61"/>
      <c r="E53" s="61"/>
      <c r="F53" s="60">
        <v>100</v>
      </c>
      <c r="G53" s="7"/>
      <c r="H53" s="178"/>
      <c r="I53" s="182"/>
    </row>
    <row r="54" spans="1:9" ht="12.75">
      <c r="A54" s="14"/>
      <c r="B54" s="7"/>
      <c r="C54" s="7"/>
      <c r="D54" s="61"/>
      <c r="E54" s="61"/>
      <c r="F54" s="60">
        <v>2600</v>
      </c>
      <c r="G54" s="7">
        <v>42</v>
      </c>
      <c r="H54" s="179"/>
      <c r="I54" s="183"/>
    </row>
    <row r="55" spans="1:9" ht="12.75">
      <c r="A55" s="6" t="s">
        <v>156</v>
      </c>
      <c r="B55" s="7" t="s">
        <v>33</v>
      </c>
      <c r="C55" s="7">
        <v>43</v>
      </c>
      <c r="D55" s="60">
        <v>100</v>
      </c>
      <c r="E55" s="61"/>
      <c r="F55" s="61"/>
      <c r="G55" s="7"/>
      <c r="H55" s="65"/>
      <c r="I55" s="66"/>
    </row>
    <row r="56" spans="1:9" ht="12.75">
      <c r="A56" s="14"/>
      <c r="B56" s="7"/>
      <c r="C56" s="7"/>
      <c r="D56" s="60">
        <v>1200</v>
      </c>
      <c r="E56" s="61"/>
      <c r="F56" s="61"/>
      <c r="G56" s="7">
        <v>44</v>
      </c>
      <c r="H56" s="7" t="s">
        <v>33</v>
      </c>
      <c r="I56" s="157" t="s">
        <v>344</v>
      </c>
    </row>
    <row r="57" spans="1:9" ht="12.75">
      <c r="A57" s="12" t="s">
        <v>345</v>
      </c>
      <c r="B57" s="7" t="s">
        <v>33</v>
      </c>
      <c r="C57" s="7">
        <v>45</v>
      </c>
      <c r="D57" s="61"/>
      <c r="E57" s="60">
        <v>1200</v>
      </c>
      <c r="F57" s="61"/>
      <c r="G57" s="7"/>
      <c r="H57" s="7"/>
      <c r="I57" s="66"/>
    </row>
    <row r="58" spans="1:9" ht="12.75">
      <c r="A58" s="14"/>
      <c r="B58" s="7"/>
      <c r="C58" s="7"/>
      <c r="D58" s="61"/>
      <c r="E58" s="60">
        <v>50</v>
      </c>
      <c r="F58" s="61"/>
      <c r="G58" s="7">
        <v>46</v>
      </c>
      <c r="H58" s="7" t="s">
        <v>33</v>
      </c>
      <c r="I58" s="157" t="s">
        <v>358</v>
      </c>
    </row>
    <row r="59" spans="1:9" ht="12.75">
      <c r="A59" s="6" t="s">
        <v>157</v>
      </c>
      <c r="B59" s="7" t="s">
        <v>33</v>
      </c>
      <c r="C59" s="7">
        <v>47</v>
      </c>
      <c r="D59" s="61"/>
      <c r="E59" s="61"/>
      <c r="F59" s="60">
        <v>100</v>
      </c>
      <c r="G59" s="7"/>
      <c r="H59" s="7"/>
      <c r="I59" s="66"/>
    </row>
    <row r="60" spans="1:9" ht="12.75">
      <c r="A60" s="14"/>
      <c r="B60" s="7"/>
      <c r="C60" s="7"/>
      <c r="D60" s="61"/>
      <c r="E60" s="61"/>
      <c r="F60" s="60">
        <v>500</v>
      </c>
      <c r="G60" s="7">
        <v>48</v>
      </c>
      <c r="H60" s="7" t="s">
        <v>33</v>
      </c>
      <c r="I60" s="157" t="s">
        <v>315</v>
      </c>
    </row>
    <row r="61" spans="1:9" ht="12.75">
      <c r="A61" s="6" t="s">
        <v>135</v>
      </c>
      <c r="B61" s="7" t="s">
        <v>33</v>
      </c>
      <c r="C61" s="7">
        <v>49</v>
      </c>
      <c r="D61" s="60"/>
      <c r="E61" s="61"/>
      <c r="F61" s="61"/>
      <c r="G61" s="7"/>
      <c r="H61" s="65"/>
      <c r="I61" s="66"/>
    </row>
    <row r="62" spans="1:9" ht="12.75">
      <c r="A62" s="14"/>
      <c r="B62" s="7"/>
      <c r="C62" s="7"/>
      <c r="D62" s="63">
        <v>1800</v>
      </c>
      <c r="E62" s="61"/>
      <c r="F62" s="61"/>
      <c r="G62" s="7">
        <v>50</v>
      </c>
      <c r="H62" s="177" t="s">
        <v>158</v>
      </c>
      <c r="I62" s="181" t="s">
        <v>159</v>
      </c>
    </row>
    <row r="63" spans="1:9" ht="12.75">
      <c r="A63" s="6" t="s">
        <v>135</v>
      </c>
      <c r="B63" s="7" t="s">
        <v>33</v>
      </c>
      <c r="C63" s="7">
        <v>51</v>
      </c>
      <c r="D63" s="61"/>
      <c r="E63" s="62"/>
      <c r="F63" s="61"/>
      <c r="G63" s="7"/>
      <c r="H63" s="178"/>
      <c r="I63" s="182"/>
    </row>
    <row r="64" spans="1:9" ht="12.75">
      <c r="A64" s="14"/>
      <c r="B64" s="7"/>
      <c r="C64" s="7"/>
      <c r="D64" s="61"/>
      <c r="E64" s="62">
        <v>1000</v>
      </c>
      <c r="F64" s="61"/>
      <c r="G64" s="7">
        <v>52</v>
      </c>
      <c r="H64" s="178"/>
      <c r="I64" s="182"/>
    </row>
    <row r="65" spans="1:9" ht="12.75">
      <c r="A65" s="6" t="s">
        <v>135</v>
      </c>
      <c r="B65" s="7" t="s">
        <v>33</v>
      </c>
      <c r="C65" s="7">
        <v>53</v>
      </c>
      <c r="D65" s="61"/>
      <c r="E65" s="61"/>
      <c r="F65" s="60"/>
      <c r="G65" s="7"/>
      <c r="H65" s="178"/>
      <c r="I65" s="182"/>
    </row>
    <row r="66" spans="1:9" ht="12.75">
      <c r="A66" s="14"/>
      <c r="B66" s="7"/>
      <c r="C66" s="7"/>
      <c r="D66" s="61"/>
      <c r="E66" s="61"/>
      <c r="F66" s="60">
        <v>881</v>
      </c>
      <c r="G66" s="7">
        <v>54</v>
      </c>
      <c r="H66" s="179"/>
      <c r="I66" s="183"/>
    </row>
    <row r="67" spans="1:9" ht="12.75">
      <c r="A67" s="30" t="s">
        <v>53</v>
      </c>
      <c r="B67" s="31"/>
      <c r="C67" s="29"/>
      <c r="D67" s="32">
        <f>SUM(D13:D66)</f>
        <v>12337</v>
      </c>
      <c r="E67" s="32">
        <f>SUM(E13:E66)</f>
        <v>12413</v>
      </c>
      <c r="F67" s="32">
        <f>SUM(F13:F66)</f>
        <v>11580.6</v>
      </c>
      <c r="G67" s="42" t="s">
        <v>34</v>
      </c>
      <c r="H67" s="43"/>
      <c r="I67" s="38"/>
    </row>
    <row r="68" spans="1:9" ht="12.75">
      <c r="A68" s="30"/>
      <c r="B68" s="31"/>
      <c r="C68" s="29"/>
      <c r="D68" s="32"/>
      <c r="E68" s="32"/>
      <c r="F68" s="17"/>
      <c r="G68" s="44"/>
      <c r="H68" s="28"/>
      <c r="I68" s="37"/>
    </row>
    <row r="69" spans="1:9" ht="12.75">
      <c r="A69" s="30" t="s">
        <v>35</v>
      </c>
      <c r="B69" s="31"/>
      <c r="C69" s="29"/>
      <c r="D69" s="32">
        <f>D67/120</f>
        <v>102.80833333333334</v>
      </c>
      <c r="E69" s="32">
        <f>E67/120</f>
        <v>103.44166666666666</v>
      </c>
      <c r="F69" s="32">
        <f>F67/120</f>
        <v>96.50500000000001</v>
      </c>
      <c r="G69" s="44"/>
      <c r="H69" s="28"/>
      <c r="I69" s="37"/>
    </row>
    <row r="70" spans="1:9" ht="12.75">
      <c r="A70" s="30"/>
      <c r="B70" s="31"/>
      <c r="C70" s="29"/>
      <c r="D70" s="32"/>
      <c r="E70" s="32"/>
      <c r="F70" s="33"/>
      <c r="G70" s="44"/>
      <c r="H70" s="28"/>
      <c r="I70" s="37"/>
    </row>
    <row r="71" spans="1:9" ht="12.75">
      <c r="A71" s="30" t="s">
        <v>54</v>
      </c>
      <c r="B71" s="31"/>
      <c r="C71" s="29"/>
      <c r="D71" s="32">
        <f>(D13+D50)/4</f>
        <v>172.5</v>
      </c>
      <c r="E71" s="32">
        <f>E15/4</f>
        <v>98</v>
      </c>
      <c r="F71" s="34">
        <f>F17/4</f>
        <v>122.5</v>
      </c>
      <c r="G71" s="44"/>
      <c r="H71" s="28"/>
      <c r="I71" s="37"/>
    </row>
    <row r="72" spans="1:9" ht="12.75">
      <c r="A72" s="30"/>
      <c r="B72" s="31"/>
      <c r="C72" s="29"/>
      <c r="D72" s="32"/>
      <c r="E72" s="32"/>
      <c r="F72" s="33"/>
      <c r="G72" s="44"/>
      <c r="H72" s="28"/>
      <c r="I72" s="37"/>
    </row>
    <row r="73" spans="1:9" ht="12.75">
      <c r="A73" s="30" t="s">
        <v>36</v>
      </c>
      <c r="B73" s="31"/>
      <c r="C73" s="29"/>
      <c r="D73" s="32">
        <f>D13/4</f>
        <v>122.5</v>
      </c>
      <c r="E73" s="32">
        <f>E15/4</f>
        <v>98</v>
      </c>
      <c r="F73" s="34">
        <f>F17/4</f>
        <v>122.5</v>
      </c>
      <c r="G73" s="44"/>
      <c r="H73" s="28"/>
      <c r="I73" s="37"/>
    </row>
    <row r="74" spans="1:9" ht="12.75">
      <c r="A74" s="30"/>
      <c r="B74" s="31"/>
      <c r="C74" s="29"/>
      <c r="D74" s="32"/>
      <c r="E74" s="32"/>
      <c r="F74" s="33"/>
      <c r="G74" s="44"/>
      <c r="H74" s="28"/>
      <c r="I74" s="37"/>
    </row>
    <row r="75" spans="1:9" ht="12.75">
      <c r="A75" s="30" t="s">
        <v>55</v>
      </c>
      <c r="B75" s="31"/>
      <c r="C75" s="29"/>
      <c r="D75" s="32">
        <f>D67+D71+D73</f>
        <v>12632</v>
      </c>
      <c r="E75" s="32">
        <f>E67+E71+E73</f>
        <v>12609</v>
      </c>
      <c r="F75" s="32">
        <f>F67+F71+F73</f>
        <v>11825.6</v>
      </c>
      <c r="G75" s="44"/>
      <c r="H75" s="28"/>
      <c r="I75" s="37"/>
    </row>
    <row r="76" spans="1:9" ht="12.75">
      <c r="A76" s="30"/>
      <c r="B76" s="31"/>
      <c r="C76" s="29"/>
      <c r="D76" s="32"/>
      <c r="E76" s="32"/>
      <c r="F76" s="33"/>
      <c r="G76" s="44"/>
      <c r="H76" s="28"/>
      <c r="I76" s="37"/>
    </row>
    <row r="77" spans="1:9" ht="12.75">
      <c r="A77" s="30" t="s">
        <v>56</v>
      </c>
      <c r="B77" s="31"/>
      <c r="C77" s="29"/>
      <c r="D77" s="32">
        <f>D75/120</f>
        <v>105.26666666666667</v>
      </c>
      <c r="E77" s="32">
        <f>E75/120</f>
        <v>105.075</v>
      </c>
      <c r="F77" s="32">
        <f>F75/120</f>
        <v>98.54666666666667</v>
      </c>
      <c r="G77" s="45"/>
      <c r="H77" s="46"/>
      <c r="I77" s="39"/>
    </row>
  </sheetData>
  <sheetProtection/>
  <mergeCells count="7">
    <mergeCell ref="B3:I3"/>
    <mergeCell ref="B4:I4"/>
    <mergeCell ref="B5:I5"/>
    <mergeCell ref="H52:H54"/>
    <mergeCell ref="I52:I54"/>
    <mergeCell ref="H62:H66"/>
    <mergeCell ref="I62:I66"/>
  </mergeCells>
  <printOptions horizontalCentered="1"/>
  <pageMargins left="0.75" right="0.75" top="1" bottom="1" header="0.5" footer="0.5"/>
  <pageSetup horizontalDpi="300" verticalDpi="300" orientation="portrait" scale="65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N198"/>
  <sheetViews>
    <sheetView zoomScalePageLayoutView="0" workbookViewId="0" topLeftCell="A45">
      <selection activeCell="A65" sqref="A65"/>
    </sheetView>
  </sheetViews>
  <sheetFormatPr defaultColWidth="9.7109375" defaultRowHeight="12.75"/>
  <cols>
    <col min="1" max="1" width="58.140625" style="100" bestFit="1" customWidth="1"/>
    <col min="2" max="3" width="11.7109375" style="100" customWidth="1"/>
    <col min="4" max="5" width="13.7109375" style="101" customWidth="1"/>
    <col min="6" max="7" width="11.7109375" style="100" customWidth="1"/>
    <col min="8" max="8" width="56.8515625" style="100" bestFit="1" customWidth="1"/>
    <col min="9" max="9" width="33.140625" style="100" hidden="1" customWidth="1"/>
    <col min="10" max="11" width="9.7109375" style="100" customWidth="1"/>
    <col min="12" max="12" width="13.8515625" style="100" customWidth="1"/>
    <col min="13" max="16384" width="9.7109375" style="100" customWidth="1"/>
  </cols>
  <sheetData>
    <row r="1" spans="1:6" ht="12.75">
      <c r="A1" s="99"/>
      <c r="F1" s="102"/>
    </row>
    <row r="2" spans="6:8" ht="12.75">
      <c r="F2" s="102"/>
      <c r="G2" s="99"/>
      <c r="H2" s="99"/>
    </row>
    <row r="3" spans="1:8" ht="12.75">
      <c r="A3" s="103" t="s">
        <v>0</v>
      </c>
      <c r="B3" s="190"/>
      <c r="C3" s="190"/>
      <c r="D3" s="190"/>
      <c r="E3" s="190"/>
      <c r="F3" s="190"/>
      <c r="G3" s="190"/>
      <c r="H3" s="190"/>
    </row>
    <row r="4" spans="1:12" ht="12.75">
      <c r="A4" s="103" t="s">
        <v>1</v>
      </c>
      <c r="B4" s="191"/>
      <c r="C4" s="191"/>
      <c r="D4" s="191"/>
      <c r="E4" s="191"/>
      <c r="F4" s="191"/>
      <c r="G4" s="191"/>
      <c r="H4" s="191"/>
      <c r="K4" s="2" t="s">
        <v>307</v>
      </c>
      <c r="L4" s="141" t="s">
        <v>219</v>
      </c>
    </row>
    <row r="5" spans="1:12" ht="12.75">
      <c r="A5" s="103" t="s">
        <v>2</v>
      </c>
      <c r="B5" s="192"/>
      <c r="C5" s="192"/>
      <c r="D5" s="192"/>
      <c r="E5" s="192"/>
      <c r="F5" s="192"/>
      <c r="G5" s="192"/>
      <c r="H5" s="192"/>
      <c r="L5" s="141" t="s">
        <v>216</v>
      </c>
    </row>
    <row r="6" ht="12.75">
      <c r="L6" s="141" t="s">
        <v>218</v>
      </c>
    </row>
    <row r="7" ht="12.75">
      <c r="L7" s="141" t="s">
        <v>220</v>
      </c>
    </row>
    <row r="8" ht="13.5" thickBot="1"/>
    <row r="9" spans="1:12" ht="13.5" thickTop="1">
      <c r="A9" s="104" t="s">
        <v>14</v>
      </c>
      <c r="B9" s="105" t="s">
        <v>208</v>
      </c>
      <c r="C9" s="104" t="s">
        <v>15</v>
      </c>
      <c r="D9" s="106" t="s">
        <v>37</v>
      </c>
      <c r="E9" s="107" t="s">
        <v>17</v>
      </c>
      <c r="F9" s="24" t="s">
        <v>236</v>
      </c>
      <c r="G9" s="104" t="s">
        <v>19</v>
      </c>
      <c r="H9" s="105" t="s">
        <v>236</v>
      </c>
      <c r="I9" s="108"/>
      <c r="K9" s="2" t="s">
        <v>308</v>
      </c>
      <c r="L9" s="141" t="s">
        <v>215</v>
      </c>
    </row>
    <row r="10" spans="1:12" ht="13.5" thickBot="1">
      <c r="A10" s="104" t="s">
        <v>20</v>
      </c>
      <c r="B10" s="105" t="s">
        <v>21</v>
      </c>
      <c r="C10" s="104" t="s">
        <v>22</v>
      </c>
      <c r="D10" s="109" t="s">
        <v>23</v>
      </c>
      <c r="E10" s="110" t="s">
        <v>52</v>
      </c>
      <c r="F10" s="105" t="s">
        <v>237</v>
      </c>
      <c r="G10" s="111" t="s">
        <v>26</v>
      </c>
      <c r="H10" s="105" t="s">
        <v>237</v>
      </c>
      <c r="I10" s="112"/>
      <c r="L10" s="141" t="s">
        <v>313</v>
      </c>
    </row>
    <row r="11" spans="1:12" ht="13.5" thickTop="1">
      <c r="A11" s="113" t="s">
        <v>27</v>
      </c>
      <c r="B11" s="114" t="s">
        <v>28</v>
      </c>
      <c r="C11" s="114" t="s">
        <v>29</v>
      </c>
      <c r="D11" s="115" t="s">
        <v>38</v>
      </c>
      <c r="E11" s="115" t="s">
        <v>39</v>
      </c>
      <c r="F11" s="114" t="s">
        <v>29</v>
      </c>
      <c r="G11" s="114" t="s">
        <v>28</v>
      </c>
      <c r="H11" s="116" t="s">
        <v>27</v>
      </c>
      <c r="L11" s="141" t="s">
        <v>217</v>
      </c>
    </row>
    <row r="12" spans="1:12" ht="12.75">
      <c r="A12" s="117" t="s">
        <v>209</v>
      </c>
      <c r="B12" s="114" t="s">
        <v>33</v>
      </c>
      <c r="C12" s="114">
        <v>1</v>
      </c>
      <c r="D12" s="118">
        <f>36*8</f>
        <v>288</v>
      </c>
      <c r="E12" s="119"/>
      <c r="F12" s="114"/>
      <c r="G12" s="114"/>
      <c r="H12" s="116"/>
      <c r="L12" s="141" t="s">
        <v>249</v>
      </c>
    </row>
    <row r="13" spans="1:12" ht="12.75">
      <c r="A13" s="124"/>
      <c r="B13" s="144"/>
      <c r="C13" s="144"/>
      <c r="D13" s="145">
        <f>40*2</f>
        <v>80</v>
      </c>
      <c r="E13" s="119"/>
      <c r="F13" s="144">
        <v>2</v>
      </c>
      <c r="G13" s="144" t="s">
        <v>33</v>
      </c>
      <c r="H13" s="123" t="s">
        <v>210</v>
      </c>
      <c r="L13" s="141" t="s">
        <v>250</v>
      </c>
    </row>
    <row r="14" spans="1:8" ht="12.75">
      <c r="A14" s="124" t="s">
        <v>211</v>
      </c>
      <c r="B14" s="144" t="s">
        <v>33</v>
      </c>
      <c r="C14" s="144">
        <v>3</v>
      </c>
      <c r="D14" s="119"/>
      <c r="E14" s="145">
        <f>180*3</f>
        <v>540</v>
      </c>
      <c r="F14" s="144"/>
      <c r="G14" s="144"/>
      <c r="H14" s="123"/>
    </row>
    <row r="15" spans="1:12" ht="12.75">
      <c r="A15" s="124"/>
      <c r="B15" s="144"/>
      <c r="C15" s="144"/>
      <c r="D15" s="119"/>
      <c r="E15" s="146">
        <v>100</v>
      </c>
      <c r="F15" s="144">
        <v>4</v>
      </c>
      <c r="G15" s="144" t="s">
        <v>33</v>
      </c>
      <c r="H15" s="123" t="s">
        <v>256</v>
      </c>
      <c r="K15" s="2" t="s">
        <v>309</v>
      </c>
      <c r="L15" s="141" t="s">
        <v>233</v>
      </c>
    </row>
    <row r="16" spans="1:8" ht="12.75">
      <c r="A16" s="138" t="s">
        <v>335</v>
      </c>
      <c r="B16" s="144" t="s">
        <v>33</v>
      </c>
      <c r="C16" s="144">
        <v>5</v>
      </c>
      <c r="D16" s="146">
        <v>1000</v>
      </c>
      <c r="E16" s="119"/>
      <c r="F16" s="144"/>
      <c r="G16" s="144"/>
      <c r="H16" s="123"/>
    </row>
    <row r="17" spans="1:12" ht="12.75">
      <c r="A17" s="124"/>
      <c r="B17" s="144"/>
      <c r="C17" s="144"/>
      <c r="D17" s="145">
        <f>(69*4)+(180*3)</f>
        <v>816</v>
      </c>
      <c r="E17" s="119"/>
      <c r="F17" s="144">
        <v>6</v>
      </c>
      <c r="G17" s="144" t="s">
        <v>33</v>
      </c>
      <c r="H17" s="124" t="s">
        <v>213</v>
      </c>
      <c r="K17" s="2" t="s">
        <v>310</v>
      </c>
      <c r="L17" s="2" t="s">
        <v>279</v>
      </c>
    </row>
    <row r="18" spans="1:12" ht="12.75">
      <c r="A18" s="124" t="s">
        <v>214</v>
      </c>
      <c r="B18" s="144" t="s">
        <v>33</v>
      </c>
      <c r="C18" s="144">
        <v>7</v>
      </c>
      <c r="D18" s="119"/>
      <c r="E18" s="145">
        <f>(69*4)+(180*3)</f>
        <v>816</v>
      </c>
      <c r="F18" s="144"/>
      <c r="G18" s="147"/>
      <c r="H18" s="123"/>
      <c r="L18" s="2" t="s">
        <v>311</v>
      </c>
    </row>
    <row r="19" spans="1:8" ht="12.75">
      <c r="A19" s="124"/>
      <c r="B19" s="147"/>
      <c r="C19" s="144"/>
      <c r="D19" s="119"/>
      <c r="E19" s="146">
        <v>500</v>
      </c>
      <c r="F19" s="144">
        <v>8</v>
      </c>
      <c r="G19" s="144" t="s">
        <v>33</v>
      </c>
      <c r="H19" s="139" t="s">
        <v>326</v>
      </c>
    </row>
    <row r="20" spans="1:12" ht="12.75">
      <c r="A20" s="124" t="s">
        <v>214</v>
      </c>
      <c r="B20" s="144" t="s">
        <v>33</v>
      </c>
      <c r="C20" s="144">
        <v>9</v>
      </c>
      <c r="D20" s="145">
        <f>(69*4)+(180*3)</f>
        <v>816</v>
      </c>
      <c r="E20" s="119"/>
      <c r="F20" s="144"/>
      <c r="G20" s="147"/>
      <c r="H20" s="123"/>
      <c r="K20" s="2" t="s">
        <v>312</v>
      </c>
      <c r="L20" s="141" t="s">
        <v>278</v>
      </c>
    </row>
    <row r="21" spans="1:12" ht="12.75">
      <c r="A21" s="148"/>
      <c r="B21" s="144"/>
      <c r="C21" s="144"/>
      <c r="D21" s="146">
        <v>0</v>
      </c>
      <c r="E21" s="119"/>
      <c r="F21" s="144">
        <v>10</v>
      </c>
      <c r="G21" s="144" t="s">
        <v>33</v>
      </c>
      <c r="H21" s="139" t="s">
        <v>327</v>
      </c>
      <c r="J21" s="100" t="s">
        <v>248</v>
      </c>
      <c r="L21" s="141" t="s">
        <v>234</v>
      </c>
    </row>
    <row r="22" spans="1:10" ht="12.75">
      <c r="A22" s="124" t="s">
        <v>212</v>
      </c>
      <c r="B22" s="144" t="s">
        <v>33</v>
      </c>
      <c r="C22" s="144">
        <v>11</v>
      </c>
      <c r="D22" s="119"/>
      <c r="E22" s="145">
        <v>500</v>
      </c>
      <c r="F22" s="144"/>
      <c r="G22" s="144"/>
      <c r="H22" s="123"/>
      <c r="J22" s="100" t="s">
        <v>248</v>
      </c>
    </row>
    <row r="23" spans="1:14" ht="12.75">
      <c r="A23" s="124"/>
      <c r="B23" s="144"/>
      <c r="C23" s="144"/>
      <c r="D23" s="119"/>
      <c r="E23" s="146">
        <v>100</v>
      </c>
      <c r="F23" s="144">
        <v>12</v>
      </c>
      <c r="G23" s="144" t="s">
        <v>33</v>
      </c>
      <c r="H23" s="138" t="s">
        <v>339</v>
      </c>
      <c r="J23" s="100" t="s">
        <v>248</v>
      </c>
      <c r="K23" s="2" t="s">
        <v>314</v>
      </c>
      <c r="L23" s="2" t="s">
        <v>315</v>
      </c>
      <c r="M23" s="2" t="s">
        <v>321</v>
      </c>
      <c r="N23" s="2"/>
    </row>
    <row r="24" spans="1:13" ht="12.75">
      <c r="A24" s="138" t="s">
        <v>336</v>
      </c>
      <c r="B24" s="144" t="s">
        <v>33</v>
      </c>
      <c r="C24" s="144">
        <v>13</v>
      </c>
      <c r="D24" s="146">
        <v>100</v>
      </c>
      <c r="E24" s="119"/>
      <c r="F24" s="144"/>
      <c r="G24" s="144"/>
      <c r="H24" s="123"/>
      <c r="J24" s="100" t="s">
        <v>248</v>
      </c>
      <c r="L24" s="2" t="s">
        <v>316</v>
      </c>
      <c r="M24" s="2" t="s">
        <v>322</v>
      </c>
    </row>
    <row r="25" spans="1:13" ht="12.75">
      <c r="A25" s="124"/>
      <c r="B25" s="144"/>
      <c r="C25" s="144"/>
      <c r="D25" s="146">
        <v>100</v>
      </c>
      <c r="E25" s="119"/>
      <c r="F25" s="144">
        <v>14</v>
      </c>
      <c r="G25" s="144" t="s">
        <v>33</v>
      </c>
      <c r="H25" s="123" t="s">
        <v>215</v>
      </c>
      <c r="J25" s="100" t="s">
        <v>248</v>
      </c>
      <c r="L25" s="2" t="s">
        <v>317</v>
      </c>
      <c r="M25" s="2" t="s">
        <v>323</v>
      </c>
    </row>
    <row r="26" spans="1:12" ht="12.75">
      <c r="A26" s="138" t="s">
        <v>278</v>
      </c>
      <c r="B26" s="144" t="s">
        <v>33</v>
      </c>
      <c r="C26" s="144">
        <v>15</v>
      </c>
      <c r="D26" s="119"/>
      <c r="E26" s="146">
        <v>100</v>
      </c>
      <c r="F26" s="144"/>
      <c r="G26" s="144"/>
      <c r="H26" s="123"/>
      <c r="J26" s="100" t="s">
        <v>248</v>
      </c>
      <c r="L26" s="2" t="s">
        <v>318</v>
      </c>
    </row>
    <row r="27" spans="1:12" ht="12.75">
      <c r="A27" s="124"/>
      <c r="B27" s="144"/>
      <c r="C27" s="144"/>
      <c r="D27" s="119"/>
      <c r="E27" s="146">
        <v>1500</v>
      </c>
      <c r="F27" s="144">
        <v>16</v>
      </c>
      <c r="G27" s="144" t="s">
        <v>33</v>
      </c>
      <c r="H27" s="139" t="s">
        <v>324</v>
      </c>
      <c r="J27" s="100" t="s">
        <v>248</v>
      </c>
      <c r="L27" s="2" t="s">
        <v>319</v>
      </c>
    </row>
    <row r="28" spans="1:10" ht="12.75">
      <c r="A28" s="138" t="s">
        <v>313</v>
      </c>
      <c r="B28" s="144" t="s">
        <v>33</v>
      </c>
      <c r="C28" s="144">
        <v>17</v>
      </c>
      <c r="D28" s="146">
        <v>100</v>
      </c>
      <c r="E28" s="119"/>
      <c r="F28" s="144"/>
      <c r="G28" s="147"/>
      <c r="H28" s="123"/>
      <c r="J28" s="100" t="s">
        <v>248</v>
      </c>
    </row>
    <row r="29" spans="1:10" ht="12.75">
      <c r="A29" s="124"/>
      <c r="B29" s="144"/>
      <c r="C29" s="144"/>
      <c r="D29" s="146">
        <v>100</v>
      </c>
      <c r="E29" s="119"/>
      <c r="F29" s="144">
        <v>18</v>
      </c>
      <c r="G29" s="144" t="s">
        <v>33</v>
      </c>
      <c r="H29" s="123" t="s">
        <v>216</v>
      </c>
      <c r="J29" s="100" t="s">
        <v>248</v>
      </c>
    </row>
    <row r="30" spans="1:10" ht="12.75">
      <c r="A30" s="138" t="s">
        <v>279</v>
      </c>
      <c r="B30" s="144" t="s">
        <v>33</v>
      </c>
      <c r="C30" s="144">
        <v>19</v>
      </c>
      <c r="D30" s="119"/>
      <c r="E30" s="146">
        <v>100</v>
      </c>
      <c r="F30" s="144"/>
      <c r="G30" s="144"/>
      <c r="H30" s="123"/>
      <c r="J30" s="100" t="s">
        <v>248</v>
      </c>
    </row>
    <row r="31" spans="1:10" ht="12.75">
      <c r="A31" s="124"/>
      <c r="B31" s="144"/>
      <c r="C31" s="144"/>
      <c r="D31" s="119"/>
      <c r="E31" s="146">
        <v>100</v>
      </c>
      <c r="F31" s="144">
        <v>20</v>
      </c>
      <c r="G31" s="144" t="s">
        <v>33</v>
      </c>
      <c r="H31" s="123" t="s">
        <v>217</v>
      </c>
      <c r="J31" s="100" t="s">
        <v>248</v>
      </c>
    </row>
    <row r="32" spans="1:10" ht="12.75">
      <c r="A32" s="124" t="s">
        <v>219</v>
      </c>
      <c r="B32" s="144" t="s">
        <v>33</v>
      </c>
      <c r="C32" s="144">
        <v>21</v>
      </c>
      <c r="D32" s="146">
        <v>100</v>
      </c>
      <c r="E32" s="119"/>
      <c r="F32" s="144"/>
      <c r="G32" s="147"/>
      <c r="H32" s="123"/>
      <c r="J32" s="100" t="s">
        <v>248</v>
      </c>
    </row>
    <row r="33" spans="1:10" ht="12.75">
      <c r="A33" s="124"/>
      <c r="B33" s="144"/>
      <c r="C33" s="144"/>
      <c r="D33" s="146">
        <v>100</v>
      </c>
      <c r="E33" s="119"/>
      <c r="F33" s="144">
        <v>22</v>
      </c>
      <c r="G33" s="144" t="s">
        <v>33</v>
      </c>
      <c r="H33" s="123" t="s">
        <v>220</v>
      </c>
      <c r="J33" s="100" t="s">
        <v>248</v>
      </c>
    </row>
    <row r="34" spans="1:10" ht="12.75">
      <c r="A34" s="124" t="s">
        <v>218</v>
      </c>
      <c r="B34" s="144" t="s">
        <v>33</v>
      </c>
      <c r="C34" s="144">
        <v>23</v>
      </c>
      <c r="D34" s="119"/>
      <c r="E34" s="146">
        <v>100</v>
      </c>
      <c r="F34" s="144"/>
      <c r="G34" s="144"/>
      <c r="H34" s="123"/>
      <c r="J34" s="100" t="s">
        <v>248</v>
      </c>
    </row>
    <row r="35" spans="1:10" ht="12.75">
      <c r="A35" s="124"/>
      <c r="B35" s="144"/>
      <c r="C35" s="144"/>
      <c r="D35" s="119"/>
      <c r="E35" s="146">
        <v>100</v>
      </c>
      <c r="F35" s="144">
        <v>24</v>
      </c>
      <c r="G35" s="144" t="s">
        <v>33</v>
      </c>
      <c r="H35" s="123" t="s">
        <v>250</v>
      </c>
      <c r="J35" s="100" t="s">
        <v>248</v>
      </c>
    </row>
    <row r="36" spans="1:8" ht="12.75">
      <c r="A36" s="138" t="s">
        <v>329</v>
      </c>
      <c r="B36" s="144" t="s">
        <v>33</v>
      </c>
      <c r="C36" s="144">
        <v>25</v>
      </c>
      <c r="D36" s="146">
        <v>1600</v>
      </c>
      <c r="E36" s="119"/>
      <c r="F36" s="144"/>
      <c r="G36" s="147"/>
      <c r="H36" s="123"/>
    </row>
    <row r="37" spans="1:10" ht="12.75">
      <c r="A37" s="124"/>
      <c r="B37" s="144"/>
      <c r="C37" s="144"/>
      <c r="D37" s="146">
        <v>100</v>
      </c>
      <c r="E37" s="119"/>
      <c r="F37" s="144">
        <v>26</v>
      </c>
      <c r="G37" s="144" t="s">
        <v>33</v>
      </c>
      <c r="H37" s="139" t="s">
        <v>337</v>
      </c>
      <c r="J37" s="100" t="s">
        <v>248</v>
      </c>
    </row>
    <row r="38" spans="1:10" ht="12.75">
      <c r="A38" s="123" t="s">
        <v>249</v>
      </c>
      <c r="B38" s="144" t="s">
        <v>33</v>
      </c>
      <c r="C38" s="144">
        <v>27</v>
      </c>
      <c r="D38" s="119"/>
      <c r="E38" s="146">
        <v>100</v>
      </c>
      <c r="F38" s="144"/>
      <c r="G38" s="144"/>
      <c r="H38" s="123"/>
      <c r="J38" s="100" t="s">
        <v>248</v>
      </c>
    </row>
    <row r="39" spans="1:10" ht="12.75">
      <c r="A39" s="123"/>
      <c r="B39" s="144"/>
      <c r="C39" s="144"/>
      <c r="D39" s="119"/>
      <c r="E39" s="146">
        <v>100</v>
      </c>
      <c r="F39" s="144">
        <v>28</v>
      </c>
      <c r="G39" s="144" t="s">
        <v>33</v>
      </c>
      <c r="H39" s="139" t="s">
        <v>338</v>
      </c>
      <c r="J39" s="100" t="s">
        <v>248</v>
      </c>
    </row>
    <row r="40" spans="1:10" ht="12.75">
      <c r="A40" s="124" t="s">
        <v>233</v>
      </c>
      <c r="B40" s="144" t="s">
        <v>33</v>
      </c>
      <c r="C40" s="144">
        <v>29</v>
      </c>
      <c r="D40" s="146">
        <v>100</v>
      </c>
      <c r="E40" s="119"/>
      <c r="F40" s="144"/>
      <c r="G40" s="147"/>
      <c r="H40" s="123"/>
      <c r="J40" s="100" t="s">
        <v>248</v>
      </c>
    </row>
    <row r="41" spans="1:10" ht="12.75">
      <c r="A41" s="124"/>
      <c r="B41" s="144"/>
      <c r="C41" s="144"/>
      <c r="D41" s="146">
        <v>100</v>
      </c>
      <c r="E41" s="119"/>
      <c r="F41" s="144">
        <v>30</v>
      </c>
      <c r="G41" s="144" t="s">
        <v>33</v>
      </c>
      <c r="H41" s="139" t="s">
        <v>325</v>
      </c>
      <c r="J41" s="100" t="s">
        <v>248</v>
      </c>
    </row>
    <row r="42" spans="1:10" ht="12.75">
      <c r="A42" s="124" t="s">
        <v>297</v>
      </c>
      <c r="B42" s="144" t="s">
        <v>33</v>
      </c>
      <c r="C42" s="144">
        <v>31</v>
      </c>
      <c r="D42" s="119"/>
      <c r="E42" s="146">
        <v>318</v>
      </c>
      <c r="F42" s="144"/>
      <c r="G42" s="144"/>
      <c r="H42" s="123"/>
      <c r="J42" s="100" t="s">
        <v>248</v>
      </c>
    </row>
    <row r="43" spans="1:10" ht="12.75">
      <c r="A43" s="124" t="s">
        <v>41</v>
      </c>
      <c r="B43" s="144"/>
      <c r="C43" s="144"/>
      <c r="D43" s="119"/>
      <c r="E43" s="146">
        <v>567</v>
      </c>
      <c r="F43" s="144">
        <v>32</v>
      </c>
      <c r="G43" s="144" t="s">
        <v>33</v>
      </c>
      <c r="H43" s="149" t="s">
        <v>296</v>
      </c>
      <c r="J43" s="100" t="s">
        <v>248</v>
      </c>
    </row>
    <row r="44" spans="1:10" ht="12.75">
      <c r="A44" s="139" t="s">
        <v>320</v>
      </c>
      <c r="B44" s="144" t="s">
        <v>33</v>
      </c>
      <c r="C44" s="144">
        <v>33</v>
      </c>
      <c r="D44" s="146">
        <v>318</v>
      </c>
      <c r="E44" s="119"/>
      <c r="F44" s="144"/>
      <c r="G44" s="147"/>
      <c r="H44" s="123"/>
      <c r="J44" s="100" t="s">
        <v>248</v>
      </c>
    </row>
    <row r="45" spans="1:8" ht="12.75">
      <c r="A45" s="124"/>
      <c r="B45" s="144"/>
      <c r="C45" s="144"/>
      <c r="D45" s="150">
        <v>240</v>
      </c>
      <c r="E45" s="119"/>
      <c r="F45" s="144">
        <v>34</v>
      </c>
      <c r="G45" s="144" t="s">
        <v>33</v>
      </c>
      <c r="H45" s="123" t="s">
        <v>294</v>
      </c>
    </row>
    <row r="46" spans="1:8" ht="12.75">
      <c r="A46" s="124" t="s">
        <v>295</v>
      </c>
      <c r="B46" s="144" t="s">
        <v>33</v>
      </c>
      <c r="C46" s="144">
        <v>35</v>
      </c>
      <c r="D46" s="119"/>
      <c r="E46" s="150">
        <v>240</v>
      </c>
      <c r="F46" s="144"/>
      <c r="G46" s="144"/>
      <c r="H46" s="123"/>
    </row>
    <row r="47" spans="1:10" ht="12.75">
      <c r="A47" s="124"/>
      <c r="B47" s="144"/>
      <c r="C47" s="144"/>
      <c r="D47" s="119"/>
      <c r="E47" s="146">
        <v>400</v>
      </c>
      <c r="F47" s="144">
        <v>36</v>
      </c>
      <c r="G47" s="144" t="s">
        <v>33</v>
      </c>
      <c r="H47" s="123" t="s">
        <v>243</v>
      </c>
      <c r="J47" s="100" t="s">
        <v>248</v>
      </c>
    </row>
    <row r="48" spans="1:10" ht="12.75">
      <c r="A48" s="124" t="s">
        <v>244</v>
      </c>
      <c r="B48" s="151" t="s">
        <v>33</v>
      </c>
      <c r="C48" s="144">
        <v>37</v>
      </c>
      <c r="D48" s="146">
        <v>400</v>
      </c>
      <c r="E48" s="119"/>
      <c r="F48" s="144"/>
      <c r="G48" s="147"/>
      <c r="H48" s="123"/>
      <c r="J48" s="100" t="s">
        <v>248</v>
      </c>
    </row>
    <row r="49" spans="1:10" ht="12.75">
      <c r="A49" s="152"/>
      <c r="B49" s="152"/>
      <c r="C49" s="144"/>
      <c r="D49" s="146">
        <v>100</v>
      </c>
      <c r="E49" s="119"/>
      <c r="F49" s="144">
        <v>38</v>
      </c>
      <c r="G49" s="144" t="s">
        <v>33</v>
      </c>
      <c r="H49" s="123" t="s">
        <v>245</v>
      </c>
      <c r="J49" s="100" t="s">
        <v>248</v>
      </c>
    </row>
    <row r="50" spans="1:10" ht="12.75">
      <c r="A50" s="187" t="s">
        <v>246</v>
      </c>
      <c r="B50" s="193" t="s">
        <v>247</v>
      </c>
      <c r="C50" s="144">
        <v>39</v>
      </c>
      <c r="D50" s="119"/>
      <c r="E50" s="146">
        <v>350</v>
      </c>
      <c r="F50" s="144"/>
      <c r="G50" s="144"/>
      <c r="H50" s="123"/>
      <c r="J50" s="100" t="s">
        <v>248</v>
      </c>
    </row>
    <row r="51" spans="1:10" ht="12.75">
      <c r="A51" s="188"/>
      <c r="B51" s="194"/>
      <c r="C51" s="144"/>
      <c r="D51" s="119"/>
      <c r="E51" s="146">
        <v>100</v>
      </c>
      <c r="F51" s="144">
        <v>40</v>
      </c>
      <c r="G51" s="144" t="s">
        <v>33</v>
      </c>
      <c r="H51" s="138" t="s">
        <v>330</v>
      </c>
      <c r="J51" s="100" t="s">
        <v>248</v>
      </c>
    </row>
    <row r="52" spans="1:10" ht="12.75">
      <c r="A52" s="189"/>
      <c r="B52" s="195"/>
      <c r="C52" s="144">
        <v>41</v>
      </c>
      <c r="D52" s="146">
        <v>350</v>
      </c>
      <c r="E52" s="119"/>
      <c r="F52" s="144"/>
      <c r="G52" s="147"/>
      <c r="H52" s="123"/>
      <c r="J52" s="100" t="s">
        <v>248</v>
      </c>
    </row>
    <row r="53" spans="1:10" ht="12.75">
      <c r="A53" s="124"/>
      <c r="B53" s="144"/>
      <c r="C53" s="144"/>
      <c r="D53" s="146">
        <v>100</v>
      </c>
      <c r="E53" s="119"/>
      <c r="F53" s="144">
        <v>42</v>
      </c>
      <c r="G53" s="144" t="s">
        <v>33</v>
      </c>
      <c r="H53" s="138" t="s">
        <v>331</v>
      </c>
      <c r="J53" s="100" t="s">
        <v>248</v>
      </c>
    </row>
    <row r="54" spans="1:10" ht="12.75">
      <c r="A54" s="138" t="s">
        <v>342</v>
      </c>
      <c r="B54" s="144" t="s">
        <v>33</v>
      </c>
      <c r="C54" s="144">
        <v>43</v>
      </c>
      <c r="D54" s="119"/>
      <c r="E54" s="151">
        <v>100</v>
      </c>
      <c r="F54" s="144"/>
      <c r="G54" s="144"/>
      <c r="H54" s="124"/>
      <c r="J54" s="100" t="s">
        <v>248</v>
      </c>
    </row>
    <row r="55" spans="1:10" ht="12.75">
      <c r="A55" s="124"/>
      <c r="B55" s="144"/>
      <c r="C55" s="144"/>
      <c r="D55" s="119"/>
      <c r="E55" s="151">
        <v>100</v>
      </c>
      <c r="F55" s="144">
        <v>44</v>
      </c>
      <c r="G55" s="144" t="s">
        <v>33</v>
      </c>
      <c r="H55" s="138" t="s">
        <v>341</v>
      </c>
      <c r="J55" s="100" t="s">
        <v>248</v>
      </c>
    </row>
    <row r="56" spans="1:10" ht="12.75">
      <c r="A56" s="124" t="s">
        <v>280</v>
      </c>
      <c r="B56" s="144" t="s">
        <v>33</v>
      </c>
      <c r="C56" s="144">
        <v>45</v>
      </c>
      <c r="D56" s="151">
        <v>100</v>
      </c>
      <c r="E56" s="119"/>
      <c r="F56" s="144"/>
      <c r="G56" s="147"/>
      <c r="H56" s="124"/>
      <c r="J56" s="100" t="s">
        <v>248</v>
      </c>
    </row>
    <row r="57" spans="1:10" ht="12.75">
      <c r="A57" s="102"/>
      <c r="B57" s="144"/>
      <c r="C57" s="144"/>
      <c r="D57" s="151">
        <v>100</v>
      </c>
      <c r="E57" s="119"/>
      <c r="F57" s="144">
        <v>46</v>
      </c>
      <c r="G57" s="144" t="s">
        <v>33</v>
      </c>
      <c r="H57" s="124" t="s">
        <v>281</v>
      </c>
      <c r="J57" s="100" t="s">
        <v>248</v>
      </c>
    </row>
    <row r="58" spans="1:10" ht="12.75">
      <c r="A58" s="124" t="s">
        <v>282</v>
      </c>
      <c r="B58" s="144" t="s">
        <v>33</v>
      </c>
      <c r="C58" s="144">
        <v>47</v>
      </c>
      <c r="D58" s="119"/>
      <c r="E58" s="151">
        <v>1000</v>
      </c>
      <c r="F58" s="144"/>
      <c r="G58" s="144"/>
      <c r="H58" s="124"/>
      <c r="J58" s="100" t="s">
        <v>248</v>
      </c>
    </row>
    <row r="59" spans="1:8" ht="12.75">
      <c r="A59" s="124"/>
      <c r="B59" s="144"/>
      <c r="C59" s="144"/>
      <c r="D59" s="119"/>
      <c r="E59" s="98">
        <v>360</v>
      </c>
      <c r="F59" s="144">
        <v>48</v>
      </c>
      <c r="G59" s="144" t="s">
        <v>33</v>
      </c>
      <c r="H59" s="138" t="s">
        <v>264</v>
      </c>
    </row>
    <row r="60" spans="1:10" ht="12.75">
      <c r="A60" s="124" t="s">
        <v>283</v>
      </c>
      <c r="B60" s="144" t="s">
        <v>33</v>
      </c>
      <c r="C60" s="144">
        <v>49</v>
      </c>
      <c r="D60" s="151">
        <v>1000</v>
      </c>
      <c r="E60" s="119"/>
      <c r="F60" s="144"/>
      <c r="G60" s="144"/>
      <c r="H60" s="124"/>
      <c r="J60" s="100" t="s">
        <v>248</v>
      </c>
    </row>
    <row r="61" spans="1:8" ht="12.75">
      <c r="A61" s="124"/>
      <c r="B61" s="144"/>
      <c r="C61" s="144"/>
      <c r="D61" s="98">
        <v>360</v>
      </c>
      <c r="E61" s="119"/>
      <c r="F61" s="144">
        <v>50</v>
      </c>
      <c r="G61" s="144" t="s">
        <v>33</v>
      </c>
      <c r="H61" s="139" t="s">
        <v>265</v>
      </c>
    </row>
    <row r="62" spans="1:8" ht="12.75">
      <c r="A62" s="139" t="s">
        <v>266</v>
      </c>
      <c r="B62" s="144" t="s">
        <v>33</v>
      </c>
      <c r="C62" s="144">
        <v>51</v>
      </c>
      <c r="D62" s="119"/>
      <c r="E62" s="98">
        <f>40*5</f>
        <v>200</v>
      </c>
      <c r="F62" s="144"/>
      <c r="G62" s="147"/>
      <c r="H62" s="124"/>
    </row>
    <row r="63" spans="1:8" ht="12.75">
      <c r="A63" s="124"/>
      <c r="B63" s="144"/>
      <c r="C63" s="144"/>
      <c r="D63" s="119"/>
      <c r="E63" s="98">
        <v>100</v>
      </c>
      <c r="F63" s="144">
        <v>52</v>
      </c>
      <c r="G63" s="144" t="s">
        <v>33</v>
      </c>
      <c r="H63" s="138" t="s">
        <v>233</v>
      </c>
    </row>
    <row r="64" spans="1:8" ht="12.75">
      <c r="A64" s="138" t="s">
        <v>259</v>
      </c>
      <c r="B64" s="153" t="s">
        <v>33</v>
      </c>
      <c r="C64" s="144">
        <v>53</v>
      </c>
      <c r="D64" s="150">
        <v>200</v>
      </c>
      <c r="E64" s="119"/>
      <c r="F64" s="144"/>
      <c r="G64" s="144"/>
      <c r="H64" s="124"/>
    </row>
    <row r="65" spans="1:8" ht="12.75">
      <c r="A65" s="154"/>
      <c r="B65" s="151"/>
      <c r="C65" s="144"/>
      <c r="D65" s="151">
        <v>1000</v>
      </c>
      <c r="E65" s="119"/>
      <c r="F65" s="144">
        <v>54</v>
      </c>
      <c r="G65" s="155" t="s">
        <v>247</v>
      </c>
      <c r="H65" s="196" t="s">
        <v>328</v>
      </c>
    </row>
    <row r="66" spans="1:8" ht="12.75">
      <c r="A66" s="84" t="s">
        <v>258</v>
      </c>
      <c r="B66" s="153" t="s">
        <v>33</v>
      </c>
      <c r="C66" s="144">
        <v>55</v>
      </c>
      <c r="D66" s="119"/>
      <c r="E66" s="151">
        <v>600</v>
      </c>
      <c r="F66" s="144"/>
      <c r="G66" s="147"/>
      <c r="H66" s="197"/>
    </row>
    <row r="67" spans="1:8" ht="12.75">
      <c r="A67" s="124"/>
      <c r="B67" s="144"/>
      <c r="C67" s="144"/>
      <c r="D67" s="119"/>
      <c r="E67" s="151">
        <v>1000</v>
      </c>
      <c r="F67" s="144">
        <v>56</v>
      </c>
      <c r="G67" s="155" t="s">
        <v>247</v>
      </c>
      <c r="H67" s="198"/>
    </row>
    <row r="68" spans="1:8" ht="12.75">
      <c r="A68" s="138" t="s">
        <v>305</v>
      </c>
      <c r="B68" s="144" t="s">
        <v>33</v>
      </c>
      <c r="C68" s="144">
        <v>57</v>
      </c>
      <c r="D68" s="98">
        <v>1500</v>
      </c>
      <c r="E68" s="119"/>
      <c r="F68" s="144"/>
      <c r="G68" s="144"/>
      <c r="H68" s="124"/>
    </row>
    <row r="69" spans="1:8" ht="12.75">
      <c r="A69" s="124"/>
      <c r="B69" s="144"/>
      <c r="C69" s="144"/>
      <c r="D69" s="156">
        <v>1500</v>
      </c>
      <c r="E69" s="119"/>
      <c r="F69" s="144">
        <v>58</v>
      </c>
      <c r="G69" s="144" t="s">
        <v>33</v>
      </c>
      <c r="H69" s="138" t="s">
        <v>340</v>
      </c>
    </row>
    <row r="70" spans="1:8" ht="12.75">
      <c r="A70" s="138" t="s">
        <v>340</v>
      </c>
      <c r="B70" s="144" t="s">
        <v>33</v>
      </c>
      <c r="C70" s="144">
        <v>59</v>
      </c>
      <c r="D70" s="119"/>
      <c r="E70" s="98">
        <v>1500</v>
      </c>
      <c r="F70" s="144"/>
      <c r="G70" s="147"/>
      <c r="H70" s="124"/>
    </row>
    <row r="71" spans="1:8" ht="12.75">
      <c r="A71" s="124"/>
      <c r="B71" s="144"/>
      <c r="C71" s="144"/>
      <c r="D71" s="119"/>
      <c r="E71" s="156">
        <v>18</v>
      </c>
      <c r="F71" s="144">
        <v>60</v>
      </c>
      <c r="G71" s="144" t="s">
        <v>33</v>
      </c>
      <c r="H71" s="90" t="s">
        <v>268</v>
      </c>
    </row>
    <row r="72" spans="1:8" ht="12.75">
      <c r="A72" s="138" t="s">
        <v>340</v>
      </c>
      <c r="B72" s="144" t="s">
        <v>33</v>
      </c>
      <c r="C72" s="144">
        <v>61</v>
      </c>
      <c r="D72" s="156">
        <v>1500</v>
      </c>
      <c r="E72" s="119"/>
      <c r="F72" s="144"/>
      <c r="G72" s="144"/>
      <c r="H72" s="90"/>
    </row>
    <row r="73" spans="1:8" ht="12.75">
      <c r="A73" s="124"/>
      <c r="B73" s="144"/>
      <c r="C73" s="144"/>
      <c r="D73" s="146">
        <v>18</v>
      </c>
      <c r="E73" s="119"/>
      <c r="F73" s="144">
        <v>62</v>
      </c>
      <c r="G73" s="144" t="s">
        <v>33</v>
      </c>
      <c r="H73" s="90" t="s">
        <v>269</v>
      </c>
    </row>
    <row r="74" spans="1:8" ht="12.75">
      <c r="A74" s="138" t="s">
        <v>343</v>
      </c>
      <c r="B74" s="144" t="s">
        <v>33</v>
      </c>
      <c r="C74" s="144">
        <v>63</v>
      </c>
      <c r="D74" s="119"/>
      <c r="E74" s="155"/>
      <c r="F74" s="144"/>
      <c r="G74" s="147"/>
      <c r="H74" s="90"/>
    </row>
    <row r="75" spans="1:8" ht="12.75">
      <c r="A75" s="124"/>
      <c r="B75" s="144"/>
      <c r="C75" s="144"/>
      <c r="D75" s="119"/>
      <c r="E75" s="151">
        <v>18</v>
      </c>
      <c r="F75" s="144">
        <v>64</v>
      </c>
      <c r="G75" s="144" t="s">
        <v>33</v>
      </c>
      <c r="H75" s="90" t="s">
        <v>270</v>
      </c>
    </row>
    <row r="76" spans="1:8" ht="12.75">
      <c r="A76" s="138" t="s">
        <v>352</v>
      </c>
      <c r="B76" s="144" t="s">
        <v>33</v>
      </c>
      <c r="C76" s="144">
        <v>65</v>
      </c>
      <c r="D76" s="146"/>
      <c r="E76" s="119"/>
      <c r="F76" s="144"/>
      <c r="G76" s="144"/>
      <c r="H76" s="124"/>
    </row>
    <row r="77" spans="1:8" ht="12.75">
      <c r="A77" s="124"/>
      <c r="B77" s="144"/>
      <c r="C77" s="144"/>
      <c r="D77" s="146"/>
      <c r="E77" s="119"/>
      <c r="F77" s="144">
        <v>66</v>
      </c>
      <c r="G77" s="144" t="s">
        <v>33</v>
      </c>
      <c r="H77" s="124" t="s">
        <v>135</v>
      </c>
    </row>
    <row r="78" spans="1:8" ht="12.75">
      <c r="A78" s="117" t="s">
        <v>135</v>
      </c>
      <c r="B78" s="114" t="s">
        <v>33</v>
      </c>
      <c r="C78" s="114">
        <v>67</v>
      </c>
      <c r="D78" s="119"/>
      <c r="E78" s="115"/>
      <c r="F78" s="114"/>
      <c r="G78" s="121"/>
      <c r="H78" s="117"/>
    </row>
    <row r="79" spans="1:8" ht="12.75">
      <c r="A79" s="117"/>
      <c r="B79" s="114"/>
      <c r="C79" s="114"/>
      <c r="D79" s="119"/>
      <c r="E79" s="115"/>
      <c r="F79" s="114">
        <v>68</v>
      </c>
      <c r="G79" s="114" t="s">
        <v>33</v>
      </c>
      <c r="H79" s="117" t="s">
        <v>135</v>
      </c>
    </row>
    <row r="80" spans="1:8" ht="12.75">
      <c r="A80" s="117" t="s">
        <v>135</v>
      </c>
      <c r="B80" s="114" t="s">
        <v>33</v>
      </c>
      <c r="C80" s="114">
        <v>69</v>
      </c>
      <c r="D80" s="120"/>
      <c r="E80" s="119"/>
      <c r="F80" s="114"/>
      <c r="G80" s="114"/>
      <c r="H80" s="117"/>
    </row>
    <row r="81" spans="1:8" ht="12.75">
      <c r="A81" s="117"/>
      <c r="B81" s="114"/>
      <c r="C81" s="114"/>
      <c r="D81" s="120"/>
      <c r="E81" s="119"/>
      <c r="F81" s="114">
        <v>70</v>
      </c>
      <c r="G81" s="114" t="s">
        <v>33</v>
      </c>
      <c r="H81" s="117" t="s">
        <v>135</v>
      </c>
    </row>
    <row r="82" spans="1:8" ht="12.75">
      <c r="A82" s="117" t="s">
        <v>135</v>
      </c>
      <c r="B82" s="115" t="s">
        <v>33</v>
      </c>
      <c r="C82" s="114">
        <v>71</v>
      </c>
      <c r="D82" s="119"/>
      <c r="E82" s="115"/>
      <c r="F82" s="114"/>
      <c r="G82" s="121"/>
      <c r="H82" s="117"/>
    </row>
    <row r="83" spans="1:8" ht="12.75">
      <c r="A83" s="117"/>
      <c r="B83" s="114"/>
      <c r="C83" s="114"/>
      <c r="D83" s="119"/>
      <c r="E83" s="115"/>
      <c r="F83" s="114">
        <v>72</v>
      </c>
      <c r="G83" s="114" t="s">
        <v>33</v>
      </c>
      <c r="H83" s="117" t="s">
        <v>135</v>
      </c>
    </row>
    <row r="84" spans="1:8" ht="12.75">
      <c r="A84" s="125" t="s">
        <v>53</v>
      </c>
      <c r="B84" s="126"/>
      <c r="C84" s="127"/>
      <c r="D84" s="128">
        <f>SUM(D12:D83)</f>
        <v>14286</v>
      </c>
      <c r="E84" s="128">
        <f>SUM(E12:E83)</f>
        <v>11727</v>
      </c>
      <c r="F84" s="129" t="s">
        <v>40</v>
      </c>
      <c r="G84" s="130"/>
      <c r="H84" s="131"/>
    </row>
    <row r="85" spans="1:8" ht="12.75">
      <c r="A85" s="125"/>
      <c r="B85" s="126"/>
      <c r="C85" s="127"/>
      <c r="D85" s="128"/>
      <c r="E85" s="128"/>
      <c r="F85" s="132"/>
      <c r="G85" s="133"/>
      <c r="H85" s="134"/>
    </row>
    <row r="86" spans="1:8" ht="12.75">
      <c r="A86" s="125" t="s">
        <v>35</v>
      </c>
      <c r="B86" s="126"/>
      <c r="C86" s="127"/>
      <c r="D86" s="128">
        <f>D84/120</f>
        <v>119.05</v>
      </c>
      <c r="E86" s="128">
        <f>E84/120</f>
        <v>97.725</v>
      </c>
      <c r="F86" s="132"/>
      <c r="G86" s="133"/>
      <c r="H86" s="134"/>
    </row>
    <row r="87" spans="1:8" ht="12.75">
      <c r="A87" s="125"/>
      <c r="B87" s="126"/>
      <c r="C87" s="127"/>
      <c r="D87" s="128"/>
      <c r="E87" s="128"/>
      <c r="F87" s="132"/>
      <c r="G87" s="133"/>
      <c r="H87" s="134"/>
    </row>
    <row r="88" spans="1:8" ht="12.75">
      <c r="A88" s="125" t="s">
        <v>54</v>
      </c>
      <c r="B88" s="126"/>
      <c r="C88" s="127"/>
      <c r="D88" s="128">
        <f>(D12+D13+D17+D20+D52+D64+D65)/4</f>
        <v>887.5</v>
      </c>
      <c r="E88" s="128">
        <f>(E18+E50+E62+E66+E67)/4</f>
        <v>741.5</v>
      </c>
      <c r="F88" s="132"/>
      <c r="G88" s="133"/>
      <c r="H88" s="134"/>
    </row>
    <row r="89" spans="1:8" ht="12.75">
      <c r="A89" s="125"/>
      <c r="B89" s="126"/>
      <c r="C89" s="127"/>
      <c r="D89" s="128"/>
      <c r="E89" s="128"/>
      <c r="F89" s="132"/>
      <c r="G89" s="133"/>
      <c r="H89" s="134"/>
    </row>
    <row r="90" spans="1:8" ht="12.75">
      <c r="A90" s="125" t="s">
        <v>36</v>
      </c>
      <c r="B90" s="126"/>
      <c r="C90" s="127"/>
      <c r="D90" s="128">
        <f>D68/4</f>
        <v>375</v>
      </c>
      <c r="E90" s="128">
        <f>E58/4</f>
        <v>250</v>
      </c>
      <c r="F90" s="132"/>
      <c r="G90" s="133"/>
      <c r="H90" s="134"/>
    </row>
    <row r="91" spans="1:8" ht="12.75">
      <c r="A91" s="125"/>
      <c r="B91" s="126"/>
      <c r="C91" s="127"/>
      <c r="D91" s="128"/>
      <c r="E91" s="128"/>
      <c r="F91" s="132"/>
      <c r="G91" s="133"/>
      <c r="H91" s="134"/>
    </row>
    <row r="92" spans="1:8" ht="12.75">
      <c r="A92" s="125" t="s">
        <v>55</v>
      </c>
      <c r="B92" s="126"/>
      <c r="C92" s="127"/>
      <c r="D92" s="128">
        <f>D84+D88+D90</f>
        <v>15548.5</v>
      </c>
      <c r="E92" s="128">
        <f>E84+E88+E90</f>
        <v>12718.5</v>
      </c>
      <c r="F92" s="132"/>
      <c r="G92" s="133"/>
      <c r="H92" s="134"/>
    </row>
    <row r="93" spans="1:8" ht="12.75">
      <c r="A93" s="125"/>
      <c r="B93" s="126"/>
      <c r="C93" s="127"/>
      <c r="D93" s="128"/>
      <c r="E93" s="128"/>
      <c r="F93" s="132"/>
      <c r="G93" s="133"/>
      <c r="H93" s="134"/>
    </row>
    <row r="94" spans="1:8" ht="12.75">
      <c r="A94" s="125" t="s">
        <v>56</v>
      </c>
      <c r="B94" s="126"/>
      <c r="C94" s="127"/>
      <c r="D94" s="128">
        <f>D92/120</f>
        <v>129.57083333333333</v>
      </c>
      <c r="E94" s="128">
        <f>E92/120</f>
        <v>105.9875</v>
      </c>
      <c r="F94" s="135"/>
      <c r="G94" s="136"/>
      <c r="H94" s="137"/>
    </row>
    <row r="198" ht="12.75">
      <c r="J198" s="99"/>
    </row>
  </sheetData>
  <sheetProtection/>
  <mergeCells count="6">
    <mergeCell ref="A50:A52"/>
    <mergeCell ref="B3:H3"/>
    <mergeCell ref="B4:H4"/>
    <mergeCell ref="B5:H5"/>
    <mergeCell ref="B50:B52"/>
    <mergeCell ref="H65:H67"/>
  </mergeCells>
  <printOptions/>
  <pageMargins left="0.75" right="0.75" top="1" bottom="1" header="0.5" footer="0.5"/>
  <pageSetup horizontalDpi="300" verticalDpi="300" orientation="portrait" scale="63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142"/>
  <sheetViews>
    <sheetView zoomScalePageLayoutView="0" workbookViewId="0" topLeftCell="A1">
      <selection activeCell="A9" sqref="A9:H38"/>
    </sheetView>
  </sheetViews>
  <sheetFormatPr defaultColWidth="9.7109375" defaultRowHeight="12.75"/>
  <cols>
    <col min="1" max="1" width="58.140625" style="100" bestFit="1" customWidth="1"/>
    <col min="2" max="3" width="11.7109375" style="100" customWidth="1"/>
    <col min="4" max="5" width="13.7109375" style="101" customWidth="1"/>
    <col min="6" max="7" width="11.7109375" style="100" customWidth="1"/>
    <col min="8" max="8" width="56.8515625" style="100" bestFit="1" customWidth="1"/>
    <col min="9" max="9" width="33.140625" style="100" hidden="1" customWidth="1"/>
    <col min="10" max="16384" width="9.7109375" style="100" customWidth="1"/>
  </cols>
  <sheetData>
    <row r="1" spans="1:6" ht="12.75">
      <c r="A1" s="99"/>
      <c r="F1" s="102"/>
    </row>
    <row r="2" spans="6:8" ht="12.75">
      <c r="F2" s="102"/>
      <c r="G2" s="99"/>
      <c r="H2" s="99"/>
    </row>
    <row r="3" spans="1:8" ht="12.75">
      <c r="A3" s="103" t="s">
        <v>0</v>
      </c>
      <c r="B3" s="190"/>
      <c r="C3" s="190"/>
      <c r="D3" s="190"/>
      <c r="E3" s="190"/>
      <c r="F3" s="190"/>
      <c r="G3" s="190"/>
      <c r="H3" s="190"/>
    </row>
    <row r="4" spans="1:8" ht="12.75">
      <c r="A4" s="103" t="s">
        <v>1</v>
      </c>
      <c r="B4" s="191"/>
      <c r="C4" s="191"/>
      <c r="D4" s="191"/>
      <c r="E4" s="191"/>
      <c r="F4" s="191"/>
      <c r="G4" s="191"/>
      <c r="H4" s="191"/>
    </row>
    <row r="5" spans="1:8" ht="12.75">
      <c r="A5" s="103" t="s">
        <v>2</v>
      </c>
      <c r="B5" s="192"/>
      <c r="C5" s="192"/>
      <c r="D5" s="192"/>
      <c r="E5" s="192"/>
      <c r="F5" s="192"/>
      <c r="G5" s="192"/>
      <c r="H5" s="192"/>
    </row>
    <row r="8" ht="13.5" thickBot="1"/>
    <row r="9" spans="1:9" ht="13.5" thickTop="1">
      <c r="A9" s="104" t="s">
        <v>14</v>
      </c>
      <c r="B9" s="23" t="s">
        <v>306</v>
      </c>
      <c r="C9" s="104" t="s">
        <v>15</v>
      </c>
      <c r="D9" s="106" t="s">
        <v>37</v>
      </c>
      <c r="E9" s="107" t="s">
        <v>17</v>
      </c>
      <c r="F9" s="24" t="s">
        <v>18</v>
      </c>
      <c r="G9" s="104" t="s">
        <v>19</v>
      </c>
      <c r="H9" s="23" t="s">
        <v>18</v>
      </c>
      <c r="I9" s="108"/>
    </row>
    <row r="10" spans="1:9" ht="13.5" thickBot="1">
      <c r="A10" s="104" t="s">
        <v>20</v>
      </c>
      <c r="B10" s="105" t="s">
        <v>21</v>
      </c>
      <c r="C10" s="104" t="s">
        <v>22</v>
      </c>
      <c r="D10" s="109" t="s">
        <v>23</v>
      </c>
      <c r="E10" s="110" t="s">
        <v>52</v>
      </c>
      <c r="F10" s="105" t="s">
        <v>237</v>
      </c>
      <c r="G10" s="111" t="s">
        <v>26</v>
      </c>
      <c r="H10" s="105" t="s">
        <v>237</v>
      </c>
      <c r="I10" s="112"/>
    </row>
    <row r="11" spans="1:8" ht="13.5" thickTop="1">
      <c r="A11" s="113" t="s">
        <v>27</v>
      </c>
      <c r="B11" s="114" t="s">
        <v>28</v>
      </c>
      <c r="C11" s="114" t="s">
        <v>29</v>
      </c>
      <c r="D11" s="115" t="s">
        <v>38</v>
      </c>
      <c r="E11" s="115" t="s">
        <v>39</v>
      </c>
      <c r="F11" s="114" t="s">
        <v>29</v>
      </c>
      <c r="G11" s="114" t="s">
        <v>28</v>
      </c>
      <c r="H11" s="116" t="s">
        <v>27</v>
      </c>
    </row>
    <row r="12" spans="1:8" ht="12.75">
      <c r="A12" s="14" t="s">
        <v>346</v>
      </c>
      <c r="B12" s="114" t="s">
        <v>33</v>
      </c>
      <c r="C12" s="114">
        <v>1</v>
      </c>
      <c r="D12" s="118">
        <v>100</v>
      </c>
      <c r="E12" s="119"/>
      <c r="F12" s="114"/>
      <c r="G12" s="114"/>
      <c r="H12" s="116"/>
    </row>
    <row r="13" spans="1:8" ht="12.75">
      <c r="A13" s="117"/>
      <c r="B13" s="114"/>
      <c r="C13" s="114"/>
      <c r="D13" s="118">
        <v>500</v>
      </c>
      <c r="E13" s="119"/>
      <c r="F13" s="114">
        <v>2</v>
      </c>
      <c r="G13" s="114" t="s">
        <v>33</v>
      </c>
      <c r="H13" s="6" t="s">
        <v>348</v>
      </c>
    </row>
    <row r="14" spans="1:8" ht="12.75">
      <c r="A14" s="14" t="s">
        <v>347</v>
      </c>
      <c r="B14" s="114" t="s">
        <v>33</v>
      </c>
      <c r="C14" s="114">
        <v>3</v>
      </c>
      <c r="D14" s="119"/>
      <c r="E14" s="118">
        <v>240</v>
      </c>
      <c r="F14" s="114"/>
      <c r="G14" s="114"/>
      <c r="H14" s="116"/>
    </row>
    <row r="15" spans="1:8" ht="12.75">
      <c r="A15" s="117"/>
      <c r="B15" s="114"/>
      <c r="C15" s="114"/>
      <c r="D15" s="119"/>
      <c r="E15" s="120">
        <v>220</v>
      </c>
      <c r="F15" s="114">
        <v>4</v>
      </c>
      <c r="G15" s="114" t="s">
        <v>33</v>
      </c>
      <c r="H15" s="6" t="s">
        <v>350</v>
      </c>
    </row>
    <row r="16" spans="1:8" ht="12.75">
      <c r="A16" s="14" t="s">
        <v>349</v>
      </c>
      <c r="B16" s="114" t="s">
        <v>33</v>
      </c>
      <c r="C16" s="114">
        <v>5</v>
      </c>
      <c r="D16" s="120">
        <v>500</v>
      </c>
      <c r="E16" s="119"/>
      <c r="F16" s="114"/>
      <c r="G16" s="114"/>
      <c r="H16" s="116"/>
    </row>
    <row r="17" spans="1:8" ht="12.75">
      <c r="A17" s="117"/>
      <c r="B17" s="114"/>
      <c r="C17" s="114"/>
      <c r="D17" s="118">
        <v>380</v>
      </c>
      <c r="E17" s="119"/>
      <c r="F17" s="114">
        <v>6</v>
      </c>
      <c r="G17" s="114" t="s">
        <v>33</v>
      </c>
      <c r="H17" s="6" t="s">
        <v>333</v>
      </c>
    </row>
    <row r="18" spans="1:8" ht="12.75">
      <c r="A18" s="14" t="s">
        <v>351</v>
      </c>
      <c r="B18" s="114" t="s">
        <v>33</v>
      </c>
      <c r="C18" s="114">
        <v>7</v>
      </c>
      <c r="D18" s="119"/>
      <c r="E18" s="118">
        <v>220</v>
      </c>
      <c r="F18" s="114"/>
      <c r="G18" s="121"/>
      <c r="H18" s="116"/>
    </row>
    <row r="19" spans="1:8" ht="12.75">
      <c r="A19" s="117"/>
      <c r="B19" s="121"/>
      <c r="C19" s="114"/>
      <c r="D19" s="119"/>
      <c r="E19" s="120"/>
      <c r="F19" s="114">
        <v>8</v>
      </c>
      <c r="G19" s="114" t="s">
        <v>33</v>
      </c>
      <c r="H19" s="116" t="s">
        <v>135</v>
      </c>
    </row>
    <row r="20" spans="1:8" ht="12.75">
      <c r="A20" s="14" t="s">
        <v>135</v>
      </c>
      <c r="B20" s="114" t="s">
        <v>33</v>
      </c>
      <c r="C20" s="114">
        <v>9</v>
      </c>
      <c r="D20" s="118"/>
      <c r="E20" s="119"/>
      <c r="F20" s="114"/>
      <c r="G20" s="121"/>
      <c r="H20" s="116"/>
    </row>
    <row r="21" spans="1:8" ht="12.75">
      <c r="A21" s="122"/>
      <c r="B21" s="114"/>
      <c r="C21" s="114"/>
      <c r="D21" s="120"/>
      <c r="E21" s="119"/>
      <c r="F21" s="114">
        <v>10</v>
      </c>
      <c r="G21" s="114" t="s">
        <v>33</v>
      </c>
      <c r="H21" s="116" t="s">
        <v>135</v>
      </c>
    </row>
    <row r="22" spans="1:8" ht="12.75">
      <c r="A22" s="14" t="s">
        <v>135</v>
      </c>
      <c r="B22" s="114" t="s">
        <v>33</v>
      </c>
      <c r="C22" s="114">
        <v>11</v>
      </c>
      <c r="D22" s="119"/>
      <c r="E22" s="118"/>
      <c r="F22" s="114"/>
      <c r="G22" s="114"/>
      <c r="H22" s="116"/>
    </row>
    <row r="23" spans="1:8" ht="12.75">
      <c r="A23" s="117"/>
      <c r="B23" s="114"/>
      <c r="C23" s="114"/>
      <c r="D23" s="119"/>
      <c r="E23" s="120"/>
      <c r="F23" s="114">
        <v>12</v>
      </c>
      <c r="G23" s="114" t="s">
        <v>33</v>
      </c>
      <c r="H23" s="117" t="s">
        <v>135</v>
      </c>
    </row>
    <row r="24" spans="1:8" ht="12.75">
      <c r="A24" s="14" t="s">
        <v>135</v>
      </c>
      <c r="B24" s="114" t="s">
        <v>33</v>
      </c>
      <c r="C24" s="114">
        <v>13</v>
      </c>
      <c r="D24" s="120"/>
      <c r="E24" s="119"/>
      <c r="F24" s="114"/>
      <c r="G24" s="114"/>
      <c r="H24" s="116"/>
    </row>
    <row r="25" spans="1:8" ht="12.75">
      <c r="A25" s="117"/>
      <c r="B25" s="114"/>
      <c r="C25" s="114"/>
      <c r="D25" s="120"/>
      <c r="E25" s="119"/>
      <c r="F25" s="114">
        <v>14</v>
      </c>
      <c r="G25" s="114" t="s">
        <v>33</v>
      </c>
      <c r="H25" s="143" t="s">
        <v>135</v>
      </c>
    </row>
    <row r="26" spans="1:8" ht="12.75">
      <c r="A26" s="142" t="s">
        <v>135</v>
      </c>
      <c r="B26" s="114" t="s">
        <v>33</v>
      </c>
      <c r="C26" s="114">
        <v>15</v>
      </c>
      <c r="D26" s="119"/>
      <c r="E26" s="120"/>
      <c r="F26" s="114"/>
      <c r="G26" s="114"/>
      <c r="H26" s="116"/>
    </row>
    <row r="27" spans="1:8" ht="12.75">
      <c r="A27" s="117"/>
      <c r="B27" s="114"/>
      <c r="C27" s="114"/>
      <c r="D27" s="119"/>
      <c r="E27" s="120"/>
      <c r="F27" s="114">
        <v>16</v>
      </c>
      <c r="G27" s="114" t="s">
        <v>33</v>
      </c>
      <c r="H27" s="116" t="s">
        <v>135</v>
      </c>
    </row>
    <row r="28" spans="1:8" ht="12.75">
      <c r="A28" s="125" t="s">
        <v>53</v>
      </c>
      <c r="B28" s="126"/>
      <c r="C28" s="127"/>
      <c r="D28" s="128">
        <f>SUM(D12:D27)</f>
        <v>1480</v>
      </c>
      <c r="E28" s="128">
        <f>SUM(E12:E27)</f>
        <v>680</v>
      </c>
      <c r="F28" s="129" t="s">
        <v>40</v>
      </c>
      <c r="G28" s="130"/>
      <c r="H28" s="131"/>
    </row>
    <row r="29" spans="1:8" ht="12.75">
      <c r="A29" s="125"/>
      <c r="B29" s="126"/>
      <c r="C29" s="127"/>
      <c r="D29" s="128"/>
      <c r="E29" s="128"/>
      <c r="F29" s="132"/>
      <c r="G29" s="133"/>
      <c r="H29" s="134"/>
    </row>
    <row r="30" spans="1:8" ht="12.75">
      <c r="A30" s="125" t="s">
        <v>35</v>
      </c>
      <c r="B30" s="126"/>
      <c r="C30" s="127"/>
      <c r="D30" s="128">
        <f>D28/120</f>
        <v>12.333333333333334</v>
      </c>
      <c r="E30" s="128">
        <f>E28/120</f>
        <v>5.666666666666667</v>
      </c>
      <c r="F30" s="132"/>
      <c r="G30" s="133"/>
      <c r="H30" s="134"/>
    </row>
    <row r="31" spans="1:8" ht="12.75">
      <c r="A31" s="125"/>
      <c r="B31" s="126"/>
      <c r="C31" s="127"/>
      <c r="D31" s="128"/>
      <c r="E31" s="128"/>
      <c r="F31" s="132"/>
      <c r="G31" s="133"/>
      <c r="H31" s="134"/>
    </row>
    <row r="32" spans="1:8" ht="12.75">
      <c r="A32" s="125" t="s">
        <v>54</v>
      </c>
      <c r="B32" s="126"/>
      <c r="C32" s="127"/>
      <c r="D32" s="128">
        <f>(SUM(D12:D27))/4</f>
        <v>370</v>
      </c>
      <c r="E32" s="128">
        <f>(SUM(E12:E27))/4</f>
        <v>170</v>
      </c>
      <c r="F32" s="132"/>
      <c r="G32" s="133"/>
      <c r="H32" s="134"/>
    </row>
    <row r="33" spans="1:8" ht="12.75">
      <c r="A33" s="125"/>
      <c r="B33" s="126"/>
      <c r="C33" s="127"/>
      <c r="D33" s="128"/>
      <c r="E33" s="128"/>
      <c r="F33" s="132"/>
      <c r="G33" s="133"/>
      <c r="H33" s="134"/>
    </row>
    <row r="34" spans="1:8" ht="12.75">
      <c r="A34" s="125" t="s">
        <v>36</v>
      </c>
      <c r="B34" s="126"/>
      <c r="C34" s="127"/>
      <c r="D34" s="128">
        <v>0</v>
      </c>
      <c r="E34" s="128">
        <v>0</v>
      </c>
      <c r="F34" s="132"/>
      <c r="G34" s="133"/>
      <c r="H34" s="134"/>
    </row>
    <row r="35" spans="1:8" ht="12.75">
      <c r="A35" s="125"/>
      <c r="B35" s="126"/>
      <c r="C35" s="127"/>
      <c r="D35" s="128"/>
      <c r="E35" s="128"/>
      <c r="F35" s="132"/>
      <c r="G35" s="133"/>
      <c r="H35" s="134"/>
    </row>
    <row r="36" spans="1:8" ht="12.75">
      <c r="A36" s="125" t="s">
        <v>55</v>
      </c>
      <c r="B36" s="126"/>
      <c r="C36" s="127"/>
      <c r="D36" s="128">
        <f>D28+D32+D34</f>
        <v>1850</v>
      </c>
      <c r="E36" s="128">
        <f>E28+E32+E34</f>
        <v>850</v>
      </c>
      <c r="F36" s="132"/>
      <c r="G36" s="133"/>
      <c r="H36" s="134"/>
    </row>
    <row r="37" spans="1:8" ht="12.75">
      <c r="A37" s="125"/>
      <c r="B37" s="126"/>
      <c r="C37" s="127"/>
      <c r="D37" s="128"/>
      <c r="E37" s="128"/>
      <c r="F37" s="132"/>
      <c r="G37" s="133"/>
      <c r="H37" s="134"/>
    </row>
    <row r="38" spans="1:8" ht="12.75">
      <c r="A38" s="125" t="s">
        <v>56</v>
      </c>
      <c r="B38" s="126"/>
      <c r="C38" s="127"/>
      <c r="D38" s="128">
        <f>D36/120</f>
        <v>15.416666666666666</v>
      </c>
      <c r="E38" s="128">
        <f>E36/120</f>
        <v>7.083333333333333</v>
      </c>
      <c r="F38" s="135"/>
      <c r="G38" s="136"/>
      <c r="H38" s="137"/>
    </row>
    <row r="142" ht="12.75">
      <c r="J142" s="99"/>
    </row>
  </sheetData>
  <sheetProtection/>
  <mergeCells count="3">
    <mergeCell ref="B3:H3"/>
    <mergeCell ref="B4:H4"/>
    <mergeCell ref="B5:H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142"/>
  <sheetViews>
    <sheetView tabSelected="1" zoomScalePageLayoutView="0" workbookViewId="0" topLeftCell="A1">
      <selection activeCell="D22" sqref="D22"/>
    </sheetView>
  </sheetViews>
  <sheetFormatPr defaultColWidth="9.7109375" defaultRowHeight="12.75"/>
  <cols>
    <col min="1" max="1" width="58.140625" style="100" bestFit="1" customWidth="1"/>
    <col min="2" max="3" width="11.7109375" style="100" customWidth="1"/>
    <col min="4" max="5" width="13.7109375" style="101" customWidth="1"/>
    <col min="6" max="7" width="11.7109375" style="100" customWidth="1"/>
    <col min="8" max="8" width="56.8515625" style="100" bestFit="1" customWidth="1"/>
    <col min="9" max="9" width="33.140625" style="100" hidden="1" customWidth="1"/>
    <col min="10" max="16384" width="9.7109375" style="100" customWidth="1"/>
  </cols>
  <sheetData>
    <row r="1" spans="1:6" ht="12.75">
      <c r="A1" s="99"/>
      <c r="F1" s="102"/>
    </row>
    <row r="2" spans="6:8" ht="12.75">
      <c r="F2" s="102"/>
      <c r="G2" s="99"/>
      <c r="H2" s="99"/>
    </row>
    <row r="3" spans="1:8" ht="12.75">
      <c r="A3" s="103" t="s">
        <v>0</v>
      </c>
      <c r="B3" s="190"/>
      <c r="C3" s="190"/>
      <c r="D3" s="190"/>
      <c r="E3" s="190"/>
      <c r="F3" s="190"/>
      <c r="G3" s="190"/>
      <c r="H3" s="190"/>
    </row>
    <row r="4" spans="1:8" ht="12.75">
      <c r="A4" s="103" t="s">
        <v>1</v>
      </c>
      <c r="B4" s="191"/>
      <c r="C4" s="191"/>
      <c r="D4" s="191"/>
      <c r="E4" s="191"/>
      <c r="F4" s="191"/>
      <c r="G4" s="191"/>
      <c r="H4" s="191"/>
    </row>
    <row r="5" spans="1:8" ht="12.75">
      <c r="A5" s="103" t="s">
        <v>2</v>
      </c>
      <c r="B5" s="192"/>
      <c r="C5" s="192"/>
      <c r="D5" s="192"/>
      <c r="E5" s="192"/>
      <c r="F5" s="192"/>
      <c r="G5" s="192"/>
      <c r="H5" s="192"/>
    </row>
    <row r="8" ht="13.5" thickBot="1"/>
    <row r="9" spans="1:9" ht="13.5" thickTop="1">
      <c r="A9" s="104" t="s">
        <v>14</v>
      </c>
      <c r="B9" s="23" t="s">
        <v>306</v>
      </c>
      <c r="C9" s="104" t="s">
        <v>15</v>
      </c>
      <c r="D9" s="106" t="s">
        <v>37</v>
      </c>
      <c r="E9" s="107" t="s">
        <v>17</v>
      </c>
      <c r="F9" s="24" t="s">
        <v>236</v>
      </c>
      <c r="G9" s="104" t="s">
        <v>19</v>
      </c>
      <c r="H9" s="105" t="s">
        <v>236</v>
      </c>
      <c r="I9" s="108"/>
    </row>
    <row r="10" spans="1:9" ht="13.5" thickBot="1">
      <c r="A10" s="104" t="s">
        <v>20</v>
      </c>
      <c r="B10" s="105" t="s">
        <v>21</v>
      </c>
      <c r="C10" s="104" t="s">
        <v>22</v>
      </c>
      <c r="D10" s="109" t="s">
        <v>23</v>
      </c>
      <c r="E10" s="110" t="s">
        <v>52</v>
      </c>
      <c r="F10" s="105" t="s">
        <v>237</v>
      </c>
      <c r="G10" s="111" t="s">
        <v>26</v>
      </c>
      <c r="H10" s="105" t="s">
        <v>237</v>
      </c>
      <c r="I10" s="112"/>
    </row>
    <row r="11" spans="1:8" ht="13.5" thickTop="1">
      <c r="A11" s="113" t="s">
        <v>27</v>
      </c>
      <c r="B11" s="114" t="s">
        <v>28</v>
      </c>
      <c r="C11" s="114" t="s">
        <v>29</v>
      </c>
      <c r="D11" s="115" t="s">
        <v>38</v>
      </c>
      <c r="E11" s="115" t="s">
        <v>39</v>
      </c>
      <c r="F11" s="114" t="s">
        <v>29</v>
      </c>
      <c r="G11" s="114" t="s">
        <v>28</v>
      </c>
      <c r="H11" s="116" t="s">
        <v>27</v>
      </c>
    </row>
    <row r="12" spans="1:8" ht="12.75">
      <c r="A12" s="14" t="s">
        <v>303</v>
      </c>
      <c r="B12" s="114" t="s">
        <v>33</v>
      </c>
      <c r="C12" s="114">
        <v>1</v>
      </c>
      <c r="D12" s="118">
        <v>100</v>
      </c>
      <c r="E12" s="119"/>
      <c r="F12" s="114"/>
      <c r="G12" s="114"/>
      <c r="H12" s="116"/>
    </row>
    <row r="13" spans="1:8" ht="12.75">
      <c r="A13" s="117"/>
      <c r="B13" s="114"/>
      <c r="C13" s="114"/>
      <c r="D13" s="118">
        <v>1000</v>
      </c>
      <c r="E13" s="119"/>
      <c r="F13" s="114">
        <v>2</v>
      </c>
      <c r="G13" s="114" t="s">
        <v>33</v>
      </c>
      <c r="H13" s="6" t="s">
        <v>285</v>
      </c>
    </row>
    <row r="14" spans="1:8" ht="12.75">
      <c r="A14" s="14" t="s">
        <v>260</v>
      </c>
      <c r="B14" s="114" t="s">
        <v>33</v>
      </c>
      <c r="C14" s="114">
        <v>3</v>
      </c>
      <c r="D14" s="119"/>
      <c r="E14" s="118">
        <v>100</v>
      </c>
      <c r="F14" s="114"/>
      <c r="G14" s="114"/>
      <c r="H14" s="116"/>
    </row>
    <row r="15" spans="1:8" ht="12.75">
      <c r="A15" s="117"/>
      <c r="B15" s="114"/>
      <c r="C15" s="114"/>
      <c r="D15" s="119"/>
      <c r="E15" s="120">
        <v>1000</v>
      </c>
      <c r="F15" s="114">
        <v>4</v>
      </c>
      <c r="G15" s="114" t="s">
        <v>33</v>
      </c>
      <c r="H15" s="177" t="s">
        <v>284</v>
      </c>
    </row>
    <row r="16" spans="1:8" ht="12.75">
      <c r="A16" s="14" t="s">
        <v>332</v>
      </c>
      <c r="B16" s="114" t="s">
        <v>33</v>
      </c>
      <c r="C16" s="114">
        <v>5</v>
      </c>
      <c r="D16" s="120">
        <v>500</v>
      </c>
      <c r="E16" s="119"/>
      <c r="F16" s="114"/>
      <c r="G16" s="114"/>
      <c r="H16" s="178"/>
    </row>
    <row r="17" spans="1:8" ht="12.75">
      <c r="A17" s="117"/>
      <c r="B17" s="114"/>
      <c r="C17" s="114"/>
      <c r="D17" s="118">
        <v>1000</v>
      </c>
      <c r="E17" s="119"/>
      <c r="F17" s="114">
        <v>6</v>
      </c>
      <c r="G17" s="114" t="s">
        <v>33</v>
      </c>
      <c r="H17" s="179"/>
    </row>
    <row r="18" spans="1:8" ht="12.75">
      <c r="A18" s="14" t="s">
        <v>333</v>
      </c>
      <c r="B18" s="114" t="s">
        <v>33</v>
      </c>
      <c r="C18" s="114">
        <v>7</v>
      </c>
      <c r="D18" s="119"/>
      <c r="E18" s="118">
        <v>500</v>
      </c>
      <c r="F18" s="114"/>
      <c r="G18" s="121"/>
      <c r="H18" s="116"/>
    </row>
    <row r="19" spans="1:8" ht="12.75">
      <c r="A19" s="117"/>
      <c r="B19" s="121"/>
      <c r="C19" s="114"/>
      <c r="D19" s="119"/>
      <c r="E19" s="120">
        <v>100</v>
      </c>
      <c r="F19" s="114">
        <v>8</v>
      </c>
      <c r="G19" s="114" t="s">
        <v>33</v>
      </c>
      <c r="H19" s="6" t="s">
        <v>316</v>
      </c>
    </row>
    <row r="20" spans="1:8" ht="12.75">
      <c r="A20" s="14" t="s">
        <v>334</v>
      </c>
      <c r="B20" s="114" t="s">
        <v>33</v>
      </c>
      <c r="C20" s="114">
        <v>9</v>
      </c>
      <c r="D20" s="118">
        <v>230</v>
      </c>
      <c r="E20" s="119"/>
      <c r="F20" s="114"/>
      <c r="G20" s="121"/>
      <c r="H20" s="116"/>
    </row>
    <row r="21" spans="1:8" ht="12.75">
      <c r="A21" s="122"/>
      <c r="B21" s="114"/>
      <c r="C21" s="114"/>
      <c r="D21" s="120">
        <v>500</v>
      </c>
      <c r="E21" s="119"/>
      <c r="F21" s="114">
        <v>10</v>
      </c>
      <c r="G21" s="114" t="s">
        <v>33</v>
      </c>
      <c r="H21" s="6" t="s">
        <v>355</v>
      </c>
    </row>
    <row r="22" spans="1:8" ht="12.75">
      <c r="A22" s="14" t="s">
        <v>135</v>
      </c>
      <c r="B22" s="114" t="s">
        <v>33</v>
      </c>
      <c r="C22" s="114">
        <v>11</v>
      </c>
      <c r="D22" s="119"/>
      <c r="E22" s="118">
        <v>0</v>
      </c>
      <c r="F22" s="114"/>
      <c r="G22" s="114"/>
      <c r="H22" s="116"/>
    </row>
    <row r="23" spans="1:8" ht="12.75">
      <c r="A23" s="117"/>
      <c r="B23" s="114"/>
      <c r="C23" s="114"/>
      <c r="D23" s="119"/>
      <c r="E23" s="120">
        <v>0</v>
      </c>
      <c r="F23" s="114">
        <v>12</v>
      </c>
      <c r="G23" s="114" t="s">
        <v>33</v>
      </c>
      <c r="H23" s="117" t="s">
        <v>135</v>
      </c>
    </row>
    <row r="24" spans="1:8" ht="12.75">
      <c r="A24" s="14" t="s">
        <v>135</v>
      </c>
      <c r="B24" s="114" t="s">
        <v>33</v>
      </c>
      <c r="C24" s="114">
        <v>13</v>
      </c>
      <c r="D24" s="120">
        <v>0</v>
      </c>
      <c r="E24" s="119"/>
      <c r="F24" s="114"/>
      <c r="G24" s="114"/>
      <c r="H24" s="116"/>
    </row>
    <row r="25" spans="1:8" ht="12.75">
      <c r="A25" s="117"/>
      <c r="B25" s="114"/>
      <c r="C25" s="114"/>
      <c r="D25" s="120">
        <v>0</v>
      </c>
      <c r="E25" s="119"/>
      <c r="F25" s="114">
        <v>14</v>
      </c>
      <c r="G25" s="114" t="s">
        <v>33</v>
      </c>
      <c r="H25" s="143" t="s">
        <v>135</v>
      </c>
    </row>
    <row r="26" spans="1:8" ht="12.75">
      <c r="A26" s="142" t="s">
        <v>135</v>
      </c>
      <c r="B26" s="114" t="s">
        <v>33</v>
      </c>
      <c r="C26" s="114">
        <v>15</v>
      </c>
      <c r="D26" s="119"/>
      <c r="E26" s="120">
        <v>0</v>
      </c>
      <c r="F26" s="114"/>
      <c r="G26" s="114"/>
      <c r="H26" s="116"/>
    </row>
    <row r="27" spans="1:8" ht="12.75">
      <c r="A27" s="117"/>
      <c r="B27" s="114"/>
      <c r="C27" s="114"/>
      <c r="D27" s="119"/>
      <c r="E27" s="120">
        <v>0</v>
      </c>
      <c r="F27" s="114">
        <v>16</v>
      </c>
      <c r="G27" s="114" t="s">
        <v>33</v>
      </c>
      <c r="H27" s="116" t="s">
        <v>135</v>
      </c>
    </row>
    <row r="28" spans="1:8" ht="12.75">
      <c r="A28" s="125" t="s">
        <v>53</v>
      </c>
      <c r="B28" s="126"/>
      <c r="C28" s="127"/>
      <c r="D28" s="128">
        <f>SUM(D12:D27)</f>
        <v>3330</v>
      </c>
      <c r="E28" s="128">
        <f>SUM(E12:E27)</f>
        <v>1700</v>
      </c>
      <c r="F28" s="129" t="s">
        <v>40</v>
      </c>
      <c r="G28" s="130"/>
      <c r="H28" s="131"/>
    </row>
    <row r="29" spans="1:8" ht="12.75">
      <c r="A29" s="125"/>
      <c r="B29" s="126"/>
      <c r="C29" s="127"/>
      <c r="D29" s="128"/>
      <c r="E29" s="128"/>
      <c r="F29" s="132"/>
      <c r="G29" s="133"/>
      <c r="H29" s="134"/>
    </row>
    <row r="30" spans="1:8" ht="12.75">
      <c r="A30" s="125" t="s">
        <v>35</v>
      </c>
      <c r="B30" s="126"/>
      <c r="C30" s="127"/>
      <c r="D30" s="128">
        <f>D28/120</f>
        <v>27.75</v>
      </c>
      <c r="E30" s="128">
        <f>E28/120</f>
        <v>14.166666666666666</v>
      </c>
      <c r="F30" s="132"/>
      <c r="G30" s="133"/>
      <c r="H30" s="134"/>
    </row>
    <row r="31" spans="1:8" ht="12.75">
      <c r="A31" s="125"/>
      <c r="B31" s="126"/>
      <c r="C31" s="127"/>
      <c r="D31" s="128"/>
      <c r="E31" s="128"/>
      <c r="F31" s="132"/>
      <c r="G31" s="133"/>
      <c r="H31" s="134"/>
    </row>
    <row r="32" spans="1:8" ht="12.75">
      <c r="A32" s="125" t="s">
        <v>54</v>
      </c>
      <c r="B32" s="126"/>
      <c r="C32" s="127"/>
      <c r="D32" s="128">
        <f>(SUM(D12:D27))/4</f>
        <v>832.5</v>
      </c>
      <c r="E32" s="128">
        <f>(SUM(E12:E27))/4</f>
        <v>425</v>
      </c>
      <c r="F32" s="132"/>
      <c r="G32" s="133"/>
      <c r="H32" s="134"/>
    </row>
    <row r="33" spans="1:8" ht="12.75">
      <c r="A33" s="125"/>
      <c r="B33" s="126"/>
      <c r="C33" s="127"/>
      <c r="D33" s="128"/>
      <c r="E33" s="128"/>
      <c r="F33" s="132"/>
      <c r="G33" s="133"/>
      <c r="H33" s="134"/>
    </row>
    <row r="34" spans="1:8" ht="12.75">
      <c r="A34" s="125" t="s">
        <v>36</v>
      </c>
      <c r="B34" s="126"/>
      <c r="C34" s="127"/>
      <c r="D34" s="128">
        <v>0</v>
      </c>
      <c r="E34" s="128">
        <v>0</v>
      </c>
      <c r="F34" s="132"/>
      <c r="G34" s="133"/>
      <c r="H34" s="134"/>
    </row>
    <row r="35" spans="1:8" ht="12.75">
      <c r="A35" s="125"/>
      <c r="B35" s="126"/>
      <c r="C35" s="127"/>
      <c r="D35" s="128"/>
      <c r="E35" s="128"/>
      <c r="F35" s="132"/>
      <c r="G35" s="133"/>
      <c r="H35" s="134"/>
    </row>
    <row r="36" spans="1:8" ht="12.75">
      <c r="A36" s="125" t="s">
        <v>55</v>
      </c>
      <c r="B36" s="126"/>
      <c r="C36" s="127"/>
      <c r="D36" s="128">
        <f>D28+D32+D34</f>
        <v>4162.5</v>
      </c>
      <c r="E36" s="128">
        <f>E28+E32+E34</f>
        <v>2125</v>
      </c>
      <c r="F36" s="132"/>
      <c r="G36" s="133"/>
      <c r="H36" s="134"/>
    </row>
    <row r="37" spans="1:8" ht="12.75">
      <c r="A37" s="125"/>
      <c r="B37" s="126"/>
      <c r="C37" s="127"/>
      <c r="D37" s="128"/>
      <c r="E37" s="128"/>
      <c r="F37" s="132"/>
      <c r="G37" s="133"/>
      <c r="H37" s="134"/>
    </row>
    <row r="38" spans="1:8" ht="12.75">
      <c r="A38" s="125" t="s">
        <v>56</v>
      </c>
      <c r="B38" s="126"/>
      <c r="C38" s="127"/>
      <c r="D38" s="128">
        <f>D36/120</f>
        <v>34.6875</v>
      </c>
      <c r="E38" s="128">
        <f>E36/120</f>
        <v>17.708333333333332</v>
      </c>
      <c r="F38" s="135"/>
      <c r="G38" s="136"/>
      <c r="H38" s="137"/>
    </row>
    <row r="142" ht="12.75">
      <c r="J142" s="99"/>
    </row>
  </sheetData>
  <sheetProtection/>
  <mergeCells count="4">
    <mergeCell ref="B3:H3"/>
    <mergeCell ref="B4:H4"/>
    <mergeCell ref="B5:H5"/>
    <mergeCell ref="H15:H17"/>
  </mergeCells>
  <printOptions/>
  <pageMargins left="0.75" right="0.75" top="1" bottom="1" header="0.5" footer="0.5"/>
  <pageSetup horizontalDpi="300" verticalDpi="300" orientation="portrait" scale="63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EE&amp;D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Electrical Calculations</dc:title>
  <dc:subject>Load calculations</dc:subject>
  <dc:creator>Kyle L. Lyman</dc:creator>
  <cp:keywords/>
  <dc:description/>
  <cp:lastModifiedBy>Allen Rogers</cp:lastModifiedBy>
  <cp:lastPrinted>2017-03-08T16:43:44Z</cp:lastPrinted>
  <dcterms:created xsi:type="dcterms:W3CDTF">1997-11-22T01:13:03Z</dcterms:created>
  <dcterms:modified xsi:type="dcterms:W3CDTF">2018-08-24T05:41:45Z</dcterms:modified>
  <cp:category/>
  <cp:version/>
  <cp:contentType/>
  <cp:contentStatus/>
</cp:coreProperties>
</file>